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ND000\Desktop\2,8 2023\формы 2,8 коррект на сайт  сканы\"/>
    </mc:Choice>
  </mc:AlternateContent>
  <xr:revisionPtr revIDLastSave="0" documentId="13_ncr:1_{5642414D-3EBB-460A-BBB5-6FB880344BE7}" xr6:coauthVersionLast="47" xr6:coauthVersionMax="47" xr10:uidLastSave="{00000000-0000-0000-0000-000000000000}"/>
  <bookViews>
    <workbookView xWindow="-120" yWindow="-120" windowWidth="29040" windowHeight="15840" activeTab="2" xr2:uid="{C692E03A-0CDB-4EDC-BB09-40A698326BB9}"/>
  </bookViews>
  <sheets>
    <sheet name="форма" sheetId="3" r:id="rId1"/>
    <sheet name="расходы" sheetId="5" r:id="rId2"/>
    <sheet name="форма 2023" sheetId="6" r:id="rId3"/>
    <sheet name="Лист2" sheetId="7" r:id="rId4"/>
  </sheets>
  <definedNames>
    <definedName name="_xlnm.Print_Area" localSheetId="0">форма!$A$1:$C$260</definedName>
    <definedName name="_xlnm.Print_Area" localSheetId="2">'форма 2023'!$A$1:$C$252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7" l="1"/>
  <c r="B63" i="7"/>
  <c r="B62" i="7"/>
  <c r="B61" i="7"/>
  <c r="B60" i="7"/>
  <c r="B59" i="7"/>
  <c r="B58" i="7"/>
  <c r="B65" i="7"/>
  <c r="B57" i="7"/>
  <c r="B56" i="7"/>
  <c r="B55" i="7"/>
  <c r="B54" i="7"/>
  <c r="B53" i="7"/>
  <c r="B52" i="7"/>
  <c r="B51" i="7"/>
  <c r="B50" i="7"/>
  <c r="B48" i="7"/>
  <c r="B47" i="7"/>
  <c r="B46" i="7"/>
  <c r="B45" i="7"/>
  <c r="B44" i="7"/>
  <c r="B42" i="7"/>
  <c r="C149" i="6"/>
  <c r="C121" i="6"/>
  <c r="C128" i="6"/>
  <c r="B83" i="7"/>
  <c r="F61" i="6"/>
  <c r="G34" i="6"/>
  <c r="F34" i="6"/>
  <c r="B28" i="7"/>
  <c r="B31" i="7"/>
  <c r="B49" i="7"/>
  <c r="B66" i="7"/>
  <c r="B72" i="7"/>
  <c r="C152" i="6"/>
  <c r="M16" i="6" l="1"/>
  <c r="B35" i="7"/>
  <c r="C29" i="6"/>
  <c r="B21" i="7"/>
  <c r="B14" i="7"/>
  <c r="C86" i="6"/>
  <c r="E77" i="3"/>
  <c r="C125" i="6"/>
  <c r="C110" i="6"/>
  <c r="F25" i="6"/>
  <c r="C25" i="6"/>
  <c r="I8" i="6"/>
  <c r="C46" i="6"/>
  <c r="C107" i="6"/>
  <c r="C94" i="6"/>
  <c r="M13" i="6" l="1"/>
  <c r="C103" i="6"/>
  <c r="C99" i="6"/>
  <c r="C90" i="6"/>
  <c r="C81" i="6"/>
  <c r="F15" i="6" s="1"/>
  <c r="C15" i="6" s="1"/>
  <c r="C13" i="6" s="1"/>
  <c r="C145" i="6"/>
  <c r="C138" i="6"/>
  <c r="C131" i="6"/>
  <c r="C124" i="6"/>
  <c r="C117" i="6"/>
  <c r="C78" i="6"/>
  <c r="C74" i="6"/>
  <c r="C70" i="6"/>
  <c r="C66" i="6"/>
  <c r="C61" i="6"/>
  <c r="C58" i="6"/>
  <c r="C54" i="6"/>
  <c r="C50" i="6"/>
  <c r="C42" i="6"/>
  <c r="C38" i="6"/>
  <c r="C34" i="6"/>
  <c r="D11" i="6"/>
  <c r="E11" i="6" s="1"/>
  <c r="C151" i="6"/>
  <c r="C155" i="6" s="1"/>
  <c r="C142" i="6"/>
  <c r="C135" i="6"/>
  <c r="C114" i="6"/>
  <c r="C22" i="6"/>
  <c r="C16" i="6" s="1"/>
  <c r="G57" i="5"/>
  <c r="C77" i="3" s="1"/>
  <c r="G56" i="5"/>
  <c r="C61" i="3" s="1"/>
  <c r="G58" i="5"/>
  <c r="G59" i="5"/>
  <c r="G60" i="5"/>
  <c r="G61" i="5"/>
  <c r="G62" i="5"/>
  <c r="G63" i="5"/>
  <c r="G64" i="5"/>
  <c r="G55" i="5"/>
  <c r="C29" i="3" s="1"/>
  <c r="C113" i="3"/>
  <c r="C117" i="3" s="1"/>
  <c r="C127" i="3"/>
  <c r="D53" i="5"/>
  <c r="C50" i="3" s="1"/>
  <c r="C66" i="3"/>
  <c r="C86" i="3"/>
  <c r="C38" i="3"/>
  <c r="C58" i="3"/>
  <c r="C103" i="3"/>
  <c r="C70" i="3"/>
  <c r="C90" i="3"/>
  <c r="G78" i="6" l="1"/>
  <c r="H78" i="6" s="1"/>
  <c r="J78" i="6" s="1"/>
  <c r="G61" i="6"/>
  <c r="I61" i="6" s="1"/>
  <c r="I34" i="6"/>
  <c r="G13" i="6"/>
  <c r="F13" i="6"/>
  <c r="G65" i="5"/>
  <c r="M13" i="3" s="1"/>
  <c r="C147" i="3"/>
  <c r="C46" i="3"/>
  <c r="C99" i="3"/>
  <c r="C54" i="3"/>
  <c r="C82" i="3"/>
  <c r="C74" i="3"/>
  <c r="C95" i="3"/>
  <c r="K13" i="6" l="1"/>
  <c r="I9" i="6" s="1"/>
  <c r="I10" i="6" s="1"/>
  <c r="H13" i="6"/>
  <c r="P9" i="6" s="1"/>
  <c r="F34" i="3"/>
  <c r="G34" i="3" s="1"/>
  <c r="C151" i="3"/>
  <c r="P13" i="6" l="1"/>
  <c r="C145" i="3"/>
  <c r="C124" i="3"/>
  <c r="G82" i="3" l="1"/>
  <c r="H82" i="3" s="1"/>
  <c r="F65" i="3"/>
  <c r="G65" i="3" s="1"/>
  <c r="C110" i="3"/>
  <c r="C131" i="3"/>
  <c r="C138" i="3" l="1"/>
  <c r="C22" i="3" l="1"/>
  <c r="G13" i="3" l="1"/>
  <c r="F13" i="3"/>
  <c r="C16" i="3"/>
  <c r="F15" i="3"/>
  <c r="C15" i="3" s="1"/>
  <c r="C13" i="3" s="1"/>
  <c r="K13" i="3" l="1"/>
  <c r="P13" i="3" s="1"/>
  <c r="H13" i="3"/>
  <c r="P9" i="3" s="1"/>
  <c r="I9" i="3" l="1"/>
</calcChain>
</file>

<file path=xl/sharedStrings.xml><?xml version="1.0" encoding="utf-8"?>
<sst xmlns="http://schemas.openxmlformats.org/spreadsheetml/2006/main" count="1104" uniqueCount="305">
  <si>
    <t>Адрес МКД</t>
  </si>
  <si>
    <t>Под управлением компании</t>
  </si>
  <si>
    <t>Общество с ограниченной ответственностью «ЖКХ ВАШ ДОМ»</t>
  </si>
  <si>
    <t>№</t>
  </si>
  <si>
    <t>Наименование параметра</t>
  </si>
  <si>
    <t>Значение</t>
  </si>
  <si>
    <t>1.</t>
  </si>
  <si>
    <t>Дата заполнения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</si>
  <si>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</si>
  <si>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</si>
  <si>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</si>
  <si>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</si>
  <si>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</si>
  <si>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</si>
  <si>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</si>
  <si>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0 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</si>
  <si>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</si>
  <si>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</si>
  <si>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</si>
  <si>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</si>
  <si>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</si>
  <si>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</si>
  <si>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</si>
  <si>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</si>
  <si>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</si>
  <si>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</si>
  <si>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</si>
  <si>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</si>
  <si>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</si>
  <si>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т.ч.</t>
  </si>
  <si>
    <t>12.</t>
  </si>
  <si>
    <t>- денежных средств от собственников/нанимателей</t>
  </si>
  <si>
    <t>13.</t>
  </si>
  <si>
    <t xml:space="preserve">- целевых взносов от собственников/нанимателей 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</si>
  <si>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</si>
  <si>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</si>
  <si>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</si>
  <si>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</si>
  <si>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</si>
  <si>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</si>
  <si>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</si>
  <si>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</si>
  <si>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</si>
  <si>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</si>
  <si>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</si>
  <si>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</si>
  <si>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</si>
  <si>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</si>
  <si>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</si>
  <si>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21.</t>
  </si>
  <si>
    <t>Наименование работ(услуг)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</si>
  <si>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</si>
  <si>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Годовая фактическая стоимость работ(услуг)</t>
  </si>
  <si>
    <t>Наименование работы (услуги), выполняемой в рамках указанного раздела работ (услуг)</t>
  </si>
  <si>
    <t>Проверка системы вентиляции, дымоходов</t>
  </si>
  <si>
    <t>Периодичность выполнения работ (оказания услуг)</t>
  </si>
  <si>
    <t>2 раза в год</t>
  </si>
  <si>
    <t>Единица измерения</t>
  </si>
  <si>
    <t>кв.м</t>
  </si>
  <si>
    <t>Стоимость на единицу измерения</t>
  </si>
  <si>
    <t>По мере необходимости</t>
  </si>
  <si>
    <t>кв.м.</t>
  </si>
  <si>
    <t>Расходы на услуги рабочих, выполняющих обслуживание систем инженерно-технических обеспечения.</t>
  </si>
  <si>
    <t>Постоянно</t>
  </si>
  <si>
    <t>Отчисления на социальные нужды</t>
  </si>
  <si>
    <t>22.</t>
  </si>
  <si>
    <t xml:space="preserve">Наименование работ (услуг) </t>
  </si>
  <si>
    <t>Материальные расходы по обслуживанию и благоустройству жилого дома.</t>
  </si>
  <si>
    <t>Расходы на услуги рабочих, выполняющих обслуживание и благоустройство жилого дома.</t>
  </si>
  <si>
    <t>23.</t>
  </si>
  <si>
    <t>Наименование работ (услуг)</t>
  </si>
  <si>
    <t xml:space="preserve">Работы (услуги) по управлению многоквартирным домом </t>
  </si>
  <si>
    <t>Аренда нежилого помещения</t>
  </si>
  <si>
    <t>Ежемесячно</t>
  </si>
  <si>
    <t>Обслуживание ПК, 1С, ГИС ЖКХ, связь, интернет, услуги почты.</t>
  </si>
  <si>
    <t>Ремонт и обслуживание автотранспорта</t>
  </si>
  <si>
    <t>Материальные расходы по управлению многоквартирным домом</t>
  </si>
  <si>
    <t>Расходы на услуги сотрудников, занимающихся управлением многоквартирного дома</t>
  </si>
  <si>
    <t>24.</t>
  </si>
  <si>
    <t>Содержание общедомовых приборов учета</t>
  </si>
  <si>
    <t>25.</t>
  </si>
  <si>
    <t>Услуги банка и РРКЦ</t>
  </si>
  <si>
    <t>26.</t>
  </si>
  <si>
    <t>Налоги с УСН</t>
  </si>
  <si>
    <t>Ежеквартально</t>
  </si>
  <si>
    <t>27.</t>
  </si>
  <si>
    <t>Справочно:</t>
  </si>
  <si>
    <t>Содержание и текущий ремонт лифтов</t>
  </si>
  <si>
    <t>Информация о наличии претензий по качеству выполненных работ (оказанных услуг)</t>
  </si>
  <si>
    <t>28.</t>
  </si>
  <si>
    <t>Количество поступивших претензий</t>
  </si>
  <si>
    <t>-</t>
  </si>
  <si>
    <t>29.</t>
  </si>
  <si>
    <t>Количество удовлетворенных</t>
  </si>
  <si>
    <t>Количество претензий, в удовлетворении которых отказано</t>
  </si>
  <si>
    <t>31.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</si>
  <si>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</si>
  <si>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</si>
  <si>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</si>
  <si>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</si>
  <si>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34.</t>
  </si>
  <si>
    <t>35.</t>
  </si>
  <si>
    <t>36.</t>
  </si>
  <si>
    <t>37.</t>
  </si>
  <si>
    <t>Информация о предоставленных коммунальных услугах (заполняется по каждой коммунальной услуге)</t>
  </si>
  <si>
    <t>38.</t>
  </si>
  <si>
    <t>Вид коммунальной услуги</t>
  </si>
  <si>
    <t>Холодное водоснабжение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</si>
  <si>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</si>
  <si>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</si>
  <si>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</si>
  <si>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</si>
  <si>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</si>
  <si>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</si>
  <si>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</si>
  <si>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</si>
  <si>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39.</t>
  </si>
  <si>
    <t>Горячее водоснабжение</t>
  </si>
  <si>
    <t>40.</t>
  </si>
  <si>
    <t>Водоотведение</t>
  </si>
  <si>
    <t>Отопление</t>
  </si>
  <si>
    <t>42.</t>
  </si>
  <si>
    <t>Электроснабжение</t>
  </si>
  <si>
    <t>43.</t>
  </si>
  <si>
    <t>Газоснабжение</t>
  </si>
  <si>
    <t>Информация о наличии претензий по качеству предоставленных коммунальных услуг</t>
  </si>
  <si>
    <t>44.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</si>
  <si>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</si>
  <si>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</si>
  <si>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</si>
  <si>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</si>
  <si>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</si>
  <si>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</si>
  <si>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</si>
  <si>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</si>
  <si>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</si>
  <si>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</si>
  <si>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</si>
  <si>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Генеральный директор</t>
  </si>
  <si>
    <t xml:space="preserve"> ООО «ЖКХ ВАШ ДОМ»                                                                                              Редькин А.В.    </t>
  </si>
  <si>
    <t xml:space="preserve">          </t>
  </si>
  <si>
    <t xml:space="preserve">Материальные расходы по содержанию и ремонту оборудования и систем инженерно-технического обеспечения. </t>
  </si>
  <si>
    <t>21.1</t>
  </si>
  <si>
    <t>21.2</t>
  </si>
  <si>
    <t>21.3</t>
  </si>
  <si>
    <t>21.4</t>
  </si>
  <si>
    <t>Благоустройство и обеспечение санитарного состояния жилых зданий и придомовых территорий</t>
  </si>
  <si>
    <t>22.1</t>
  </si>
  <si>
    <t>22.2</t>
  </si>
  <si>
    <t>22.3</t>
  </si>
  <si>
    <t>23.1</t>
  </si>
  <si>
    <t>23.2</t>
  </si>
  <si>
    <t>23.3</t>
  </si>
  <si>
    <t>23.4</t>
  </si>
  <si>
    <t>23.5</t>
  </si>
  <si>
    <t>23.6</t>
  </si>
  <si>
    <t>Дератизация и дезинсекция подвальных помещений</t>
  </si>
  <si>
    <t>Ежегодная</t>
  </si>
  <si>
    <t>Расходы на услуги аварийной службы</t>
  </si>
  <si>
    <t>21.5</t>
  </si>
  <si>
    <t>21.6</t>
  </si>
  <si>
    <t>Расходы на освещение  помещений,входящих в состав общего имущества в многоквартирном доме.</t>
  </si>
  <si>
    <t>Освещение мест общего пользования</t>
  </si>
  <si>
    <t>кв. м.</t>
  </si>
  <si>
    <t>Работы по содержанию и ремонту лифтового оборудования</t>
  </si>
  <si>
    <t>Страховка и оценка лифтов</t>
  </si>
  <si>
    <t>Ежегодно</t>
  </si>
  <si>
    <t>Услуги подрядных организаций по техническому обслуживанию пожарной сигнализации</t>
  </si>
  <si>
    <t>Техническое обслуживание пожарной сигнализации</t>
  </si>
  <si>
    <t>41.</t>
  </si>
  <si>
    <t>51.</t>
  </si>
  <si>
    <t>52.</t>
  </si>
  <si>
    <t>53.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</si>
  <si>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</si>
  <si>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расходы</t>
  </si>
  <si>
    <t>прибыль</t>
  </si>
  <si>
    <t>54.</t>
  </si>
  <si>
    <t>площадь</t>
  </si>
  <si>
    <t xml:space="preserve">0 руб. </t>
  </si>
  <si>
    <t>1 Благоустройство и обеспечение санитарного состояния жилых зданий и придомовых территорий +</t>
  </si>
  <si>
    <t>&lt;...&gt;</t>
  </si>
  <si>
    <t>ГСМ МКД</t>
  </si>
  <si>
    <t>Материальные расходы БЛАГОУСТРОУСТРОЙСТВО МКД</t>
  </si>
  <si>
    <t>Оплата труда ИТР МКД</t>
  </si>
  <si>
    <t>Оплата труда УБОРЩИЦЫ МКД , Дворник, садовник ( 20сч)</t>
  </si>
  <si>
    <t>Страховые взносы ИТР МКД</t>
  </si>
  <si>
    <t>Страховые взносы УБОРЩИЦЫ МКД</t>
  </si>
  <si>
    <t>Услуги сторонних организаций МКД (Благоустройство и санитарн. обр)</t>
  </si>
  <si>
    <t>2 Работы по содержанию и ремонту оборудования и систем инженерно-технического обеспечения +</t>
  </si>
  <si>
    <t>Оплата труда СЛЕСАРИ МКД</t>
  </si>
  <si>
    <t>Проверка систем вентиляции, дымоходов МКД</t>
  </si>
  <si>
    <t>Страховые взносы СЛЕСАРИ МКД</t>
  </si>
  <si>
    <t>3 Общехозяйственные работы (Услуги) +</t>
  </si>
  <si>
    <t>Аренда нежилого помещения ОБЩ</t>
  </si>
  <si>
    <t>ГСМ ОБЩ</t>
  </si>
  <si>
    <t>Канцелярские товары</t>
  </si>
  <si>
    <t>Коммунальные услуги</t>
  </si>
  <si>
    <t>Лицензия СБИС ОБЩ</t>
  </si>
  <si>
    <t>Обслуживание оргтехники  МКД</t>
  </si>
  <si>
    <t>Обслуживание оргтехники ОБЩ</t>
  </si>
  <si>
    <t>Оплата труда БУХГАЛТЕРИЯ МКД</t>
  </si>
  <si>
    <t>Оплата труда ОБЩЕХОЗЙСТВЕННЫЕ РАСХОДЫ</t>
  </si>
  <si>
    <t>Охрана ОБЩ</t>
  </si>
  <si>
    <t>Почтовые услуги, госпошлина и пр. МКД</t>
  </si>
  <si>
    <t>Прочие расходы (вода) ОБЩ</t>
  </si>
  <si>
    <t>Реклама МКД</t>
  </si>
  <si>
    <t>Страховые взносы БУХГАЛТЕРИЯ МКД</t>
  </si>
  <si>
    <t>Страховые взносы ОБЩЕХОЗЯЙСТВЕННЫЕ</t>
  </si>
  <si>
    <t>ТМЦ ОБЩ</t>
  </si>
  <si>
    <t>Услуги связи МКД</t>
  </si>
  <si>
    <t>Услуги связи+интернет ОБЩ</t>
  </si>
  <si>
    <t>Юридические услуги</t>
  </si>
  <si>
    <t>4 СТАТЬИ НЕ ВХОДЯЩИЕ В ГРУППЫ МКД (в тарифе) +</t>
  </si>
  <si>
    <t>РРКЦ МКД</t>
  </si>
  <si>
    <t>5 НЕ В ТАРИФЕ!!!! +</t>
  </si>
  <si>
    <t>Платные услуги КЛЮЧИ МКД</t>
  </si>
  <si>
    <t>Отчисления на социальные нужды п 22</t>
  </si>
  <si>
    <t>Отчисления на социальные нужды п. 21.7</t>
  </si>
  <si>
    <t>Отчисления на социальные нужды п23.6</t>
  </si>
  <si>
    <t>Техническое обслуживание и ремонт внутридомового газового оборудования</t>
  </si>
  <si>
    <t>сумма</t>
  </si>
  <si>
    <t>статья</t>
  </si>
  <si>
    <t>Названия строк</t>
  </si>
  <si>
    <t>(пусто)</t>
  </si>
  <si>
    <t>Общий итог</t>
  </si>
  <si>
    <t>Сумма по полю сумма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</si>
  <si>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п.22 настоящего документа).</t>
  </si>
  <si>
    <t>Белгородская обл., г. Белгород, пр. Белгородский 100</t>
  </si>
  <si>
    <t>Белгородский пр-кт, Дом № 100</t>
  </si>
  <si>
    <t>Аренда автотранспортных средств МКД (площадь)</t>
  </si>
  <si>
    <t>Обслуживание, ремонт автотранспорта МКД (площадь)</t>
  </si>
  <si>
    <t>Оплата труда РАБОЧИЕ МКД (площадь) только мкд</t>
  </si>
  <si>
    <t>Страховые взносы РАБОЧИЕ МКД (площадь)</t>
  </si>
  <si>
    <t>Техническое обслуживание узлов ГВС и ИТП МКД</t>
  </si>
  <si>
    <t>Электроэнергия ОДН МКД</t>
  </si>
  <si>
    <t>21.7</t>
  </si>
  <si>
    <t>Техническое обслуживание узлов ГВС и ИТП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</si>
  <si>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п.21. настоящего документа).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</si>
  <si>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п.23 настоящего документа).</t>
  </si>
  <si>
    <t>аморт</t>
  </si>
  <si>
    <t>Исполнители:</t>
  </si>
  <si>
    <t xml:space="preserve">главный бухгалтер - Мальгина О. Н.  </t>
  </si>
  <si>
    <r>
      <t>экономист – Пейтель Е.Г.</t>
    </r>
    <r>
      <rPr>
        <sz val="11"/>
        <color theme="1"/>
        <rFont val="Times New Roman"/>
        <family val="1"/>
        <charset val="204"/>
      </rPr>
      <t xml:space="preserve">                               </t>
    </r>
  </si>
  <si>
    <t xml:space="preserve">ООО "ЖКХ ВАШ ДОМ"                                                                                   </t>
  </si>
  <si>
    <t>Оборотно-сальдовая ведомость по счету 20 за 2023 г.</t>
  </si>
  <si>
    <t>Выводимые данные: БУ (данные бухгалтерского учета)</t>
  </si>
  <si>
    <t>Отбор: Подразделение Равно "Белгородский пр-кт, Дом № 100"</t>
  </si>
  <si>
    <t>Счет</t>
  </si>
  <si>
    <t>Обороты за период</t>
  </si>
  <si>
    <t>Сальдо на конец периода</t>
  </si>
  <si>
    <t>Подразделение</t>
  </si>
  <si>
    <t>Дебет</t>
  </si>
  <si>
    <t>Кредит</t>
  </si>
  <si>
    <t>Номенклатурные группы</t>
  </si>
  <si>
    <t>Статьи затрат</t>
  </si>
  <si>
    <t>20</t>
  </si>
  <si>
    <t>Оплата труда РАБОЧИЕ МКД ( 20сч)</t>
  </si>
  <si>
    <t>Оплата труда РАБОЧИЕ МКД (площадь) только мкд (25.01сч)</t>
  </si>
  <si>
    <t>ТМЦ МКД</t>
  </si>
  <si>
    <t>Материальные расходы ИНЖЕНЕРНО-ТЕХНИЧЕСКОЕ ОБЕСПЕЧЕНИЕ МКД</t>
  </si>
  <si>
    <t>Содержание лифтов МКД</t>
  </si>
  <si>
    <t>ТО шлагбаума МКД</t>
  </si>
  <si>
    <t>Транспортные услуги МКД (услуги на час)</t>
  </si>
  <si>
    <t>Услуги сторонних организаций МКД (Ремонт инженерных сетей)</t>
  </si>
  <si>
    <t>Услуги сторонних организаций МКД (текущий ремонт) ИСПРАВИТЬ</t>
  </si>
  <si>
    <t>Лицензия  МКД</t>
  </si>
  <si>
    <t>Обучение МКД</t>
  </si>
  <si>
    <t>Услуги сторонних организаций ОБЩ</t>
  </si>
  <si>
    <t>Аварийное обслуживание</t>
  </si>
  <si>
    <t>Дератизация МКД</t>
  </si>
  <si>
    <t>Страховка МКД</t>
  </si>
  <si>
    <t>ТО пожарной сигнализации МКД</t>
  </si>
  <si>
    <t>Провайдеры МКД</t>
  </si>
  <si>
    <t>Умный дом МКД</t>
  </si>
  <si>
    <t>Электроэнергия коммерция МКД</t>
  </si>
  <si>
    <t>Итого</t>
  </si>
  <si>
    <t>амортизация</t>
  </si>
  <si>
    <t>услуги банка</t>
  </si>
  <si>
    <t>налоги усн</t>
  </si>
  <si>
    <t xml:space="preserve">393069,10 руб. </t>
  </si>
  <si>
    <t>4,40 руб.</t>
  </si>
  <si>
    <t>18.1</t>
  </si>
  <si>
    <t>18.2</t>
  </si>
  <si>
    <t>18.3</t>
  </si>
  <si>
    <t>18.4</t>
  </si>
  <si>
    <t>18.5</t>
  </si>
  <si>
    <t>18.6</t>
  </si>
  <si>
    <t>18.7</t>
  </si>
  <si>
    <t>Услуги подрядных организаций</t>
  </si>
  <si>
    <t>19.1</t>
  </si>
  <si>
    <t>19.2</t>
  </si>
  <si>
    <t>19.3</t>
  </si>
  <si>
    <t>Услуги  подрядных организаций</t>
  </si>
  <si>
    <t>19.4.</t>
  </si>
  <si>
    <t>20.1</t>
  </si>
  <si>
    <t>20.2</t>
  </si>
  <si>
    <t>20.3</t>
  </si>
  <si>
    <t>20.4</t>
  </si>
  <si>
    <t>20.5</t>
  </si>
  <si>
    <t>20.6</t>
  </si>
  <si>
    <t>30.</t>
  </si>
  <si>
    <t>Внеэксплуатационные расходы</t>
  </si>
  <si>
    <t>Услуги подрядных организаций по текущему ремонту</t>
  </si>
  <si>
    <t>ТО пожарной сигнализации  ПАРКИНГ МКД</t>
  </si>
  <si>
    <t>Белгородская обл., г. Белгород, пр-кт Белгородский, д.100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</si>
</sst>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руб&quot;;\-#,##0.00,\р\у\б"/>
    <numFmt numFmtId="165" formatCode="#,##0.00_ ;\-#,##0.00\ 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3F2F"/>
      <name val="Arial"/>
      <family val="2"/>
      <charset val="204"/>
    </font>
    <font>
      <sz val="9"/>
      <name val="Arial"/>
      <family val="2"/>
      <charset val="204"/>
    </font>
    <font>
      <sz val="8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1"/>
      <name val="Arial"/>
      <family val="2"/>
      <charset val="204"/>
    </font>
    <font>
      <sz val="9"/>
      <color indexed="21"/>
      <name val="Arial"/>
      <family val="2"/>
      <charset val="204"/>
    </font>
    <font>
      <b/>
      <sz val="10"/>
      <color indexed="2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0F6EF"/>
        <bgColor auto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2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3" fillId="0" borderId="0" xfId="0" applyNumberFormat="1" applyFont="1"/>
    <xf numFmtId="4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0" fillId="3" borderId="0" xfId="0" applyFill="1"/>
    <xf numFmtId="2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7" xfId="0" applyFont="1" applyBorder="1" applyAlignment="1">
      <alignment horizontal="right" vertical="top" wrapText="1"/>
    </xf>
    <xf numFmtId="4" fontId="7" fillId="0" borderId="7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 indent="3"/>
    </xf>
    <xf numFmtId="2" fontId="7" fillId="0" borderId="7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6" fillId="4" borderId="7" xfId="0" applyFont="1" applyFill="1" applyBorder="1" applyAlignment="1">
      <alignment horizontal="left" vertical="top" wrapText="1" indent="1"/>
    </xf>
    <xf numFmtId="0" fontId="6" fillId="4" borderId="7" xfId="0" applyFont="1" applyFill="1" applyBorder="1" applyAlignment="1">
      <alignment horizontal="right" vertical="top" wrapText="1"/>
    </xf>
    <xf numFmtId="4" fontId="6" fillId="4" borderId="7" xfId="0" applyNumberFormat="1" applyFont="1" applyFill="1" applyBorder="1" applyAlignment="1">
      <alignment horizontal="right" vertical="top" wrapText="1"/>
    </xf>
    <xf numFmtId="0" fontId="7" fillId="4" borderId="7" xfId="0" applyFont="1" applyFill="1" applyBorder="1" applyAlignment="1">
      <alignment horizontal="left" vertical="top" wrapText="1" indent="2"/>
    </xf>
    <xf numFmtId="0" fontId="7" fillId="4" borderId="7" xfId="0" applyFont="1" applyFill="1" applyBorder="1" applyAlignment="1">
      <alignment horizontal="right" vertical="top" wrapText="1"/>
    </xf>
    <xf numFmtId="4" fontId="7" fillId="4" borderId="7" xfId="0" applyNumberFormat="1" applyFont="1" applyFill="1" applyBorder="1" applyAlignment="1">
      <alignment horizontal="right" vertical="top" wrapText="1"/>
    </xf>
    <xf numFmtId="0" fontId="0" fillId="0" borderId="0" xfId="0" pivotButton="1"/>
    <xf numFmtId="0" fontId="0" fillId="0" borderId="0" xfId="0" applyAlignment="1">
      <alignment horizontal="left" wrapText="1"/>
    </xf>
    <xf numFmtId="0" fontId="3" fillId="0" borderId="0" xfId="0" applyFont="1"/>
    <xf numFmtId="4" fontId="7" fillId="2" borderId="7" xfId="0" applyNumberFormat="1" applyFont="1" applyFill="1" applyBorder="1" applyAlignment="1">
      <alignment horizontal="right" vertical="top" wrapText="1"/>
    </xf>
    <xf numFmtId="0" fontId="0" fillId="5" borderId="0" xfId="0" applyFill="1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0" fontId="11" fillId="0" borderId="0" xfId="0" applyFont="1"/>
    <xf numFmtId="0" fontId="11" fillId="3" borderId="0" xfId="0" applyFont="1" applyFill="1"/>
    <xf numFmtId="0" fontId="13" fillId="0" borderId="0" xfId="1" applyNumberFormat="1" applyFont="1"/>
    <xf numFmtId="0" fontId="12" fillId="0" borderId="0" xfId="1" applyNumberFormat="1" applyAlignment="1">
      <alignment wrapText="1"/>
    </xf>
    <xf numFmtId="0" fontId="12" fillId="0" borderId="0" xfId="1"/>
    <xf numFmtId="0" fontId="14" fillId="0" borderId="0" xfId="1" applyNumberFormat="1" applyFont="1"/>
    <xf numFmtId="0" fontId="15" fillId="0" borderId="0" xfId="1" applyNumberFormat="1" applyFont="1" applyAlignment="1">
      <alignment vertical="top" wrapText="1"/>
    </xf>
    <xf numFmtId="0" fontId="16" fillId="6" borderId="26" xfId="1" applyNumberFormat="1" applyFont="1" applyFill="1" applyBorder="1" applyAlignment="1">
      <alignment vertical="top" wrapText="1"/>
    </xf>
    <xf numFmtId="0" fontId="16" fillId="6" borderId="30" xfId="1" applyNumberFormat="1" applyFont="1" applyFill="1" applyBorder="1" applyAlignment="1">
      <alignment vertical="top" wrapText="1"/>
    </xf>
    <xf numFmtId="0" fontId="16" fillId="6" borderId="30" xfId="1" applyNumberFormat="1" applyFont="1" applyFill="1" applyBorder="1" applyAlignment="1">
      <alignment horizontal="right" vertical="top" wrapText="1"/>
    </xf>
    <xf numFmtId="4" fontId="16" fillId="6" borderId="30" xfId="1" applyNumberFormat="1" applyFont="1" applyFill="1" applyBorder="1" applyAlignment="1">
      <alignment horizontal="right" vertical="top" wrapText="1"/>
    </xf>
    <xf numFmtId="0" fontId="17" fillId="6" borderId="30" xfId="1" applyNumberFormat="1" applyFont="1" applyFill="1" applyBorder="1" applyAlignment="1">
      <alignment vertical="top" wrapText="1" indent="1"/>
    </xf>
    <xf numFmtId="0" fontId="17" fillId="6" borderId="30" xfId="1" applyNumberFormat="1" applyFont="1" applyFill="1" applyBorder="1" applyAlignment="1">
      <alignment horizontal="right" vertical="top" wrapText="1"/>
    </xf>
    <xf numFmtId="4" fontId="17" fillId="6" borderId="30" xfId="1" applyNumberFormat="1" applyFont="1" applyFill="1" applyBorder="1" applyAlignment="1">
      <alignment horizontal="right" vertical="top" wrapText="1"/>
    </xf>
    <xf numFmtId="0" fontId="7" fillId="6" borderId="30" xfId="1" applyNumberFormat="1" applyFont="1" applyFill="1" applyBorder="1" applyAlignment="1">
      <alignment vertical="top" wrapText="1" indent="2"/>
    </xf>
    <xf numFmtId="0" fontId="7" fillId="6" borderId="30" xfId="1" applyNumberFormat="1" applyFont="1" applyFill="1" applyBorder="1" applyAlignment="1">
      <alignment horizontal="right" vertical="top" wrapText="1"/>
    </xf>
    <xf numFmtId="4" fontId="7" fillId="6" borderId="30" xfId="1" applyNumberFormat="1" applyFont="1" applyFill="1" applyBorder="1" applyAlignment="1">
      <alignment horizontal="right" vertical="top" wrapText="1"/>
    </xf>
    <xf numFmtId="0" fontId="7" fillId="0" borderId="30" xfId="1" applyNumberFormat="1" applyFont="1" applyBorder="1" applyAlignment="1">
      <alignment vertical="top" wrapText="1" indent="3"/>
    </xf>
    <xf numFmtId="0" fontId="7" fillId="0" borderId="30" xfId="1" applyNumberFormat="1" applyFont="1" applyBorder="1" applyAlignment="1">
      <alignment horizontal="right" vertical="top" wrapText="1"/>
    </xf>
    <xf numFmtId="4" fontId="7" fillId="0" borderId="30" xfId="1" applyNumberFormat="1" applyFont="1" applyBorder="1" applyAlignment="1">
      <alignment horizontal="right" vertical="top" wrapText="1"/>
    </xf>
    <xf numFmtId="2" fontId="7" fillId="0" borderId="30" xfId="1" applyNumberFormat="1" applyFont="1" applyBorder="1" applyAlignment="1">
      <alignment horizontal="right" vertical="top" wrapText="1"/>
    </xf>
    <xf numFmtId="0" fontId="18" fillId="6" borderId="26" xfId="1" applyNumberFormat="1" applyFont="1" applyFill="1" applyBorder="1" applyAlignment="1">
      <alignment vertical="top"/>
    </xf>
    <xf numFmtId="0" fontId="18" fillId="6" borderId="26" xfId="1" applyNumberFormat="1" applyFont="1" applyFill="1" applyBorder="1" applyAlignment="1">
      <alignment horizontal="right" vertical="top" wrapText="1"/>
    </xf>
    <xf numFmtId="4" fontId="18" fillId="6" borderId="26" xfId="1" applyNumberFormat="1" applyFont="1" applyFill="1" applyBorder="1" applyAlignment="1">
      <alignment horizontal="right" vertical="top" wrapText="1"/>
    </xf>
    <xf numFmtId="0" fontId="19" fillId="0" borderId="0" xfId="0" applyFont="1"/>
    <xf numFmtId="0" fontId="3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165" fontId="0" fillId="0" borderId="0" xfId="0" applyNumberFormat="1"/>
    <xf numFmtId="0" fontId="20" fillId="0" borderId="30" xfId="1" applyNumberFormat="1" applyFont="1" applyBorder="1" applyAlignment="1">
      <alignment vertical="top" wrapText="1" indent="3"/>
    </xf>
    <xf numFmtId="4" fontId="20" fillId="0" borderId="30" xfId="1" applyNumberFormat="1" applyFont="1" applyBorder="1" applyAlignment="1">
      <alignment horizontal="right" vertical="top" wrapText="1"/>
    </xf>
    <xf numFmtId="0" fontId="7" fillId="7" borderId="30" xfId="1" applyNumberFormat="1" applyFont="1" applyFill="1" applyBorder="1" applyAlignment="1">
      <alignment vertical="top" wrapText="1" indent="3"/>
    </xf>
    <xf numFmtId="2" fontId="7" fillId="7" borderId="30" xfId="1" applyNumberFormat="1" applyFont="1" applyFill="1" applyBorder="1" applyAlignment="1">
      <alignment horizontal="right" vertical="top" wrapText="1"/>
    </xf>
    <xf numFmtId="4" fontId="7" fillId="7" borderId="30" xfId="1" applyNumberFormat="1" applyFont="1" applyFill="1" applyBorder="1" applyAlignment="1">
      <alignment horizontal="right" vertical="top" wrapText="1"/>
    </xf>
    <xf numFmtId="0" fontId="7" fillId="8" borderId="30" xfId="1" applyNumberFormat="1" applyFont="1" applyFill="1" applyBorder="1" applyAlignment="1">
      <alignment vertical="top" wrapText="1" indent="3"/>
    </xf>
    <xf numFmtId="4" fontId="7" fillId="8" borderId="30" xfId="1" applyNumberFormat="1" applyFont="1" applyFill="1" applyBorder="1" applyAlignment="1">
      <alignment horizontal="right" vertical="top" wrapText="1"/>
    </xf>
    <xf numFmtId="2" fontId="7" fillId="8" borderId="30" xfId="1" applyNumberFormat="1" applyFont="1" applyFill="1" applyBorder="1" applyAlignment="1">
      <alignment horizontal="right" vertical="top" wrapText="1"/>
    </xf>
    <xf numFmtId="164" fontId="21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4" fillId="0" borderId="25" xfId="0" applyFont="1" applyBorder="1" applyAlignment="1">
      <alignment vertical="center" wrapText="1"/>
    </xf>
    <xf numFmtId="0" fontId="0" fillId="0" borderId="25" xfId="0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7" fillId="6" borderId="27" xfId="1" applyNumberFormat="1" applyFont="1" applyFill="1" applyBorder="1" applyAlignment="1">
      <alignment horizontal="center" vertical="top"/>
    </xf>
    <xf numFmtId="0" fontId="17" fillId="6" borderId="28" xfId="1" applyNumberFormat="1" applyFont="1" applyFill="1" applyBorder="1" applyAlignment="1">
      <alignment horizontal="center" vertical="top"/>
    </xf>
    <xf numFmtId="0" fontId="17" fillId="6" borderId="29" xfId="1" applyNumberFormat="1" applyFont="1" applyFill="1" applyBorder="1" applyAlignment="1">
      <alignment horizontal="center" vertical="top"/>
    </xf>
    <xf numFmtId="0" fontId="15" fillId="0" borderId="0" xfId="1" applyNumberFormat="1" applyFont="1" applyAlignment="1">
      <alignment vertical="top" wrapText="1"/>
    </xf>
    <xf numFmtId="0" fontId="12" fillId="0" borderId="0" xfId="1" applyNumberFormat="1" applyAlignment="1">
      <alignment horizontal="center" wrapText="1"/>
    </xf>
    <xf numFmtId="0" fontId="17" fillId="6" borderId="26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_Лист2" xfId="1" xr:uid="{339D597C-C0A8-4B72-9F8A-F0C5D3273105}"/>
  </cellStyles>
  <dxfs count="2">
    <dxf>
      <alignment horizontal="center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ND-005" refreshedDate="45007.681180208332" createdVersion="8" refreshedVersion="8" minRefreshableVersion="3" recordCount="45" xr:uid="{17193E78-2CA1-43B8-8995-5260EA69D2E6}">
  <cacheSource type="worksheet">
    <worksheetSource ref="D1:E46" sheet="расходы"/>
  </cacheSource>
  <cacheFields count="2">
    <cacheField name="сумма" numFmtId="0">
      <sharedItems containsString="0" containsBlank="1" containsNumber="1" minValue="69.540000000000006" maxValue="180754.34"/>
    </cacheField>
    <cacheField name="статья" numFmtId="0">
      <sharedItems containsBlank="1" count="15">
        <m/>
        <s v="Материальные расходы по обслуживанию и благоустройству жилого дома."/>
        <s v="Расходы на услуги рабочих, выполняющих обслуживание и благоустройство жилого дома."/>
        <s v="Отчисления на социальные нужды п 22"/>
        <s v="Расходы на услуги рабочих, выполняющих обслуживание систем инженерно-технических обеспечения."/>
        <s v="Проверка системы вентиляции, дымоходов"/>
        <s v="Отчисления на социальные нужды п. 21.7"/>
        <s v="Техническое обслуживание узлов ГВС и ИТП"/>
        <s v="Аренда нежилого помещения"/>
        <s v="Ремонт и обслуживание автотранспорта"/>
        <s v="Материальные расходы по управлению многоквартирным домом"/>
        <s v="Обслуживание ПК, 1С, ГИС ЖКХ, связь, интернет, услуги почты."/>
        <s v="Расходы на услуги сотрудников, занимающихся управлением многоквартирного дома"/>
        <s v="Отчисления на социальные нужды п23.6"/>
        <s v="Услуги банка и РРКЦ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n v="180754.34"/>
    <x v="0"/>
  </r>
  <r>
    <m/>
    <x v="0"/>
  </r>
  <r>
    <n v="348.18"/>
    <x v="1"/>
  </r>
  <r>
    <n v="69.540000000000006"/>
    <x v="1"/>
  </r>
  <r>
    <n v="9446.2999999999993"/>
    <x v="1"/>
  </r>
  <r>
    <n v="162.49"/>
    <x v="1"/>
  </r>
  <r>
    <n v="25438.6"/>
    <x v="2"/>
  </r>
  <r>
    <n v="67445.86"/>
    <x v="2"/>
  </r>
  <r>
    <n v="47739.91"/>
    <x v="2"/>
  </r>
  <r>
    <n v="4519.54"/>
    <x v="3"/>
  </r>
  <r>
    <n v="15979.28"/>
    <x v="3"/>
  </r>
  <r>
    <n v="9604.64"/>
    <x v="3"/>
  </r>
  <r>
    <n v="119509.01"/>
    <x v="0"/>
  </r>
  <r>
    <m/>
    <x v="0"/>
  </r>
  <r>
    <n v="25438.59"/>
    <x v="4"/>
  </r>
  <r>
    <n v="67384.36"/>
    <x v="4"/>
  </r>
  <r>
    <n v="5012.7"/>
    <x v="5"/>
  </r>
  <r>
    <n v="4519.54"/>
    <x v="6"/>
  </r>
  <r>
    <n v="13553.82"/>
    <x v="6"/>
  </r>
  <r>
    <n v="3600"/>
    <x v="7"/>
  </r>
  <r>
    <n v="148305.31"/>
    <x v="0"/>
  </r>
  <r>
    <m/>
    <x v="0"/>
  </r>
  <r>
    <n v="1398.63"/>
    <x v="8"/>
  </r>
  <r>
    <n v="1368.45"/>
    <x v="9"/>
  </r>
  <r>
    <n v="1593.59"/>
    <x v="10"/>
  </r>
  <r>
    <n v="401.79"/>
    <x v="10"/>
  </r>
  <r>
    <n v="189.09"/>
    <x v="11"/>
  </r>
  <r>
    <n v="186.87"/>
    <x v="11"/>
  </r>
  <r>
    <n v="234.06"/>
    <x v="11"/>
  </r>
  <r>
    <n v="35696"/>
    <x v="12"/>
  </r>
  <r>
    <n v="75989.05"/>
    <x v="12"/>
  </r>
  <r>
    <n v="475.72"/>
    <x v="10"/>
  </r>
  <r>
    <n v="182.71"/>
    <x v="11"/>
  </r>
  <r>
    <n v="181.35"/>
    <x v="10"/>
  </r>
  <r>
    <n v="208.31"/>
    <x v="10"/>
  </r>
  <r>
    <n v="7366.98"/>
    <x v="13"/>
  </r>
  <r>
    <n v="13883.32"/>
    <x v="13"/>
  </r>
  <r>
    <n v="1248.57"/>
    <x v="10"/>
  </r>
  <r>
    <n v="1620.23"/>
    <x v="11"/>
  </r>
  <r>
    <n v="371.89"/>
    <x v="11"/>
  </r>
  <r>
    <n v="5708.7"/>
    <x v="10"/>
  </r>
  <r>
    <n v="3715.29"/>
    <x v="0"/>
  </r>
  <r>
    <m/>
    <x v="0"/>
  </r>
  <r>
    <n v="2715.29"/>
    <x v="14"/>
  </r>
  <r>
    <n v="10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531CE9-3578-4D5A-8426-8C17EECE899A}" name="Сводная таблица4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54:B70" firstHeaderRow="1" firstDataRow="1" firstDataCol="1"/>
  <pivotFields count="2">
    <pivotField dataField="1" showAll="0"/>
    <pivotField axis="axisRow" showAll="0">
      <items count="16">
        <item x="8"/>
        <item x="1"/>
        <item x="10"/>
        <item x="11"/>
        <item x="3"/>
        <item x="6"/>
        <item x="13"/>
        <item x="5"/>
        <item x="2"/>
        <item x="4"/>
        <item x="12"/>
        <item x="9"/>
        <item x="7"/>
        <item x="14"/>
        <item x="0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Сумма по полю сумма" fld="0" baseField="0" baseItem="0"/>
  </dataFields>
  <formats count="2">
    <format dxfId="1">
      <pivotArea dataOnly="0" labelOnly="1" fieldPosition="0">
        <references count="1">
          <reference field="1" count="0"/>
        </references>
      </pivotArea>
    </format>
    <format dxfId="0">
      <pivotArea collapsedLevelsAreSubtotals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CEE79-2C48-4103-A05F-273918F47EF8}">
  <dimension ref="A1:R261"/>
  <sheetViews>
    <sheetView view="pageBreakPreview" topLeftCell="A67" zoomScaleNormal="100" zoomScaleSheetLayoutView="100" workbookViewId="0">
      <selection activeCell="E77" sqref="E77"/>
    </sheetView>
  </sheetViews>
  <sheetFormatPr defaultRowHeight="15" x14ac:dyDescent="0.25"/>
  <cols>
    <col min="1" max="1" width="13.5703125" customWidth="1"/>
    <col min="2" max="2" width="47.140625" customWidth="1"/>
    <col min="3" max="3" width="38.28515625" customWidth="1"/>
    <col min="6" max="6" width="11.42578125" bestFit="1" customWidth="1"/>
    <col min="7" max="7" width="10" bestFit="1" customWidth="1"/>
    <col min="8" max="8" width="11.42578125" bestFit="1" customWidth="1"/>
    <col min="9" max="9" width="12.5703125" customWidth="1"/>
    <col min="11" max="11" width="11.42578125" bestFit="1" customWidth="1"/>
    <col min="13" max="13" width="10" bestFit="1" customWidth="1"/>
    <col min="15" max="15" width="11.42578125" bestFit="1" customWidth="1"/>
    <col min="18" max="18" width="9.7109375" bestFit="1" customWidth="1"/>
  </cols>
  <sheetData>
    <row r="1" spans="1:18" ht="42" customHeight="1" thickBot="1" x14ac:dyDescent="0.3">
      <c r="A1" s="11" t="s">
        <v>0</v>
      </c>
      <c r="B1" s="100" t="s">
        <v>227</v>
      </c>
      <c r="C1" s="101"/>
    </row>
    <row r="2" spans="1:18" ht="48" thickBot="1" x14ac:dyDescent="0.3">
      <c r="A2" s="12" t="s">
        <v>1</v>
      </c>
      <c r="B2" s="102" t="s">
        <v>2</v>
      </c>
      <c r="C2" s="103"/>
    </row>
    <row r="3" spans="1:18" ht="52.5" customHeight="1" thickBot="1" x14ac:dyDescent="0.3">
      <c r="A3" s="107" t="s">
        <v>173</v>
      </c>
      <c r="B3" s="108"/>
      <c r="C3" s="108"/>
    </row>
    <row r="4" spans="1:18" ht="15.75" thickBot="1" x14ac:dyDescent="0.3">
      <c r="A4" s="1" t="s">
        <v>3</v>
      </c>
      <c r="B4" s="2" t="s">
        <v>4</v>
      </c>
      <c r="C4" s="2" t="s">
        <v>5</v>
      </c>
    </row>
    <row r="5" spans="1:18" ht="15.75" thickBot="1" x14ac:dyDescent="0.3">
      <c r="A5" s="6" t="s">
        <v>6</v>
      </c>
      <c r="B5" s="4" t="s">
        <v>7</v>
      </c>
      <c r="C5" s="42">
        <v>45010</v>
      </c>
    </row>
    <row r="6" spans="1:18" ht="15.75" thickBot="1" x14ac:dyDescent="0.3">
      <c r="A6" s="6" t="s">
        <v>8</v>
      </c>
      <c r="B6" s="4" t="s">
        <v>9</v>
      </c>
      <c r="C6" s="42">
        <v>44835</v>
      </c>
    </row>
    <row r="7" spans="1:18" ht="15.75" thickBot="1" x14ac:dyDescent="0.3">
      <c r="A7" s="6" t="s">
        <v>10</v>
      </c>
      <c r="B7" s="4" t="s">
        <v>11</v>
      </c>
      <c r="C7" s="42">
        <v>44926</v>
      </c>
    </row>
    <row r="8" spans="1:18" ht="39" customHeight="1" x14ac:dyDescent="0.25">
      <c r="A8" s="96" t="s">
        <v>12</v>
      </c>
      <c r="B8" s="97"/>
      <c r="C8" s="97"/>
    </row>
    <row r="9" spans="1:18" ht="30" x14ac:dyDescent="0.25">
      <c r="A9" s="9" t="s">
        <v>13</v>
      </c>
      <c r="B9" s="9" t="s">
        <v>14</v>
      </c>
      <c r="C9" s="41">
        <v>0</v>
      </c>
      <c r="H9" t="s">
        <v>175</v>
      </c>
      <c r="I9" s="14">
        <f>C12-K13</f>
        <v>186508.22999999998</v>
      </c>
      <c r="L9" t="s">
        <v>177</v>
      </c>
      <c r="M9" s="19">
        <v>9991.1</v>
      </c>
      <c r="P9">
        <f>H13/M9/7</f>
        <v>6.3359697273430484</v>
      </c>
    </row>
    <row r="10" spans="1:18" ht="30" x14ac:dyDescent="0.25">
      <c r="A10" s="9" t="s">
        <v>16</v>
      </c>
      <c r="B10" s="9" t="s">
        <v>17</v>
      </c>
      <c r="C10" s="41">
        <v>0</v>
      </c>
    </row>
    <row r="11" spans="1:18" x14ac:dyDescent="0.25">
      <c r="A11" s="9" t="s">
        <v>18</v>
      </c>
      <c r="B11" s="9" t="s">
        <v>19</v>
      </c>
      <c r="C11" s="41">
        <v>0</v>
      </c>
    </row>
    <row r="12" spans="1:18" ht="30" x14ac:dyDescent="0.25">
      <c r="A12" s="9" t="s">
        <v>20</v>
      </c>
      <c r="B12" s="9" t="s">
        <v>21</v>
      </c>
      <c r="C12" s="41">
        <v>806690.26</v>
      </c>
      <c r="F12" s="13"/>
      <c r="K12" t="s">
        <v>174</v>
      </c>
    </row>
    <row r="13" spans="1:18" x14ac:dyDescent="0.25">
      <c r="A13" s="9" t="s">
        <v>22</v>
      </c>
      <c r="B13" s="9" t="s">
        <v>23</v>
      </c>
      <c r="C13" s="41">
        <f>C12-C15</f>
        <v>629631.38</v>
      </c>
      <c r="F13" s="14">
        <f>C29+C61</f>
        <v>361263.35</v>
      </c>
      <c r="G13" s="14">
        <f>C106+C113+C120+C127+C134+C141+C147</f>
        <v>81859.799999999988</v>
      </c>
      <c r="H13" s="14">
        <f>SUM(F13:G13)</f>
        <v>443123.14999999997</v>
      </c>
      <c r="I13" s="14"/>
      <c r="K13" s="14">
        <f>F13+F15+G13</f>
        <v>620182.03</v>
      </c>
      <c r="M13" s="14">
        <f>расходы!G65+расходы!D50+C120+расходы!L50</f>
        <v>620182.03</v>
      </c>
      <c r="O13" s="14"/>
      <c r="P13" s="14">
        <f>K13-M13</f>
        <v>0</v>
      </c>
      <c r="R13" s="14"/>
    </row>
    <row r="14" spans="1:18" x14ac:dyDescent="0.25">
      <c r="A14" s="9" t="s">
        <v>24</v>
      </c>
      <c r="B14" s="9" t="s">
        <v>25</v>
      </c>
      <c r="C14" s="41">
        <v>0</v>
      </c>
    </row>
    <row r="15" spans="1:18" x14ac:dyDescent="0.25">
      <c r="A15" s="9" t="s">
        <v>26</v>
      </c>
      <c r="B15" s="9" t="s">
        <v>27</v>
      </c>
      <c r="C15" s="41">
        <f>F15</f>
        <v>177058.88</v>
      </c>
      <c r="F15" s="14">
        <f>C77</f>
        <v>177058.88</v>
      </c>
    </row>
    <row r="16" spans="1:18" x14ac:dyDescent="0.25">
      <c r="A16" s="9" t="s">
        <v>28</v>
      </c>
      <c r="B16" s="9" t="s">
        <v>29</v>
      </c>
      <c r="C16" s="41">
        <f>C22+C20</f>
        <v>277497.81</v>
      </c>
    </row>
    <row r="17" spans="1:3" ht="30" x14ac:dyDescent="0.25">
      <c r="A17" s="9" t="s">
        <v>30</v>
      </c>
      <c r="B17" s="9" t="s">
        <v>31</v>
      </c>
      <c r="C17" s="41">
        <v>277497.81</v>
      </c>
    </row>
    <row r="18" spans="1:3" x14ac:dyDescent="0.25">
      <c r="A18" s="9" t="s">
        <v>32</v>
      </c>
      <c r="B18" s="9" t="s">
        <v>33</v>
      </c>
      <c r="C18" s="41">
        <v>0</v>
      </c>
    </row>
    <row r="19" spans="1:3" x14ac:dyDescent="0.25">
      <c r="A19" s="9" t="s">
        <v>34</v>
      </c>
      <c r="B19" s="9" t="s">
        <v>35</v>
      </c>
      <c r="C19" s="41">
        <v>0</v>
      </c>
    </row>
    <row r="20" spans="1:3" ht="30" x14ac:dyDescent="0.25">
      <c r="A20" s="9" t="s">
        <v>36</v>
      </c>
      <c r="B20" s="9" t="s">
        <v>37</v>
      </c>
      <c r="C20" s="41">
        <v>0</v>
      </c>
    </row>
    <row r="21" spans="1:3" x14ac:dyDescent="0.25">
      <c r="A21" s="9" t="s">
        <v>38</v>
      </c>
      <c r="B21" s="9" t="s">
        <v>39</v>
      </c>
      <c r="C21" s="41">
        <v>0</v>
      </c>
    </row>
    <row r="22" spans="1:3" x14ac:dyDescent="0.25">
      <c r="A22" s="9" t="s">
        <v>40</v>
      </c>
      <c r="B22" s="9" t="s">
        <v>41</v>
      </c>
      <c r="C22" s="41">
        <f>C17+C18+C19+C20+C21</f>
        <v>277497.81</v>
      </c>
    </row>
    <row r="23" spans="1:3" ht="30" x14ac:dyDescent="0.25">
      <c r="A23" s="9" t="s">
        <v>42</v>
      </c>
      <c r="B23" s="9" t="s">
        <v>43</v>
      </c>
      <c r="C23" s="41">
        <v>0</v>
      </c>
    </row>
    <row r="24" spans="1:3" ht="30" x14ac:dyDescent="0.25">
      <c r="A24" s="9" t="s">
        <v>44</v>
      </c>
      <c r="B24" s="9" t="s">
        <v>45</v>
      </c>
      <c r="C24" s="41">
        <v>0</v>
      </c>
    </row>
    <row r="25" spans="1:3" x14ac:dyDescent="0.25">
      <c r="A25" s="9" t="s">
        <v>46</v>
      </c>
      <c r="B25" s="9" t="s">
        <v>47</v>
      </c>
      <c r="C25" s="41">
        <v>529192.44999999995</v>
      </c>
    </row>
    <row r="26" spans="1:3" ht="37.5" customHeight="1" thickBot="1" x14ac:dyDescent="0.3">
      <c r="A26" s="98" t="s">
        <v>48</v>
      </c>
      <c r="B26" s="99"/>
      <c r="C26" s="99"/>
    </row>
    <row r="27" spans="1:3" x14ac:dyDescent="0.25">
      <c r="A27" s="109" t="s">
        <v>49</v>
      </c>
      <c r="B27" s="109" t="s">
        <v>50</v>
      </c>
      <c r="C27" s="109" t="s">
        <v>51</v>
      </c>
    </row>
    <row r="28" spans="1:3" ht="58.5" customHeight="1" thickBot="1" x14ac:dyDescent="0.3">
      <c r="A28" s="110"/>
      <c r="B28" s="110"/>
      <c r="C28" s="110"/>
    </row>
    <row r="29" spans="1:3" ht="29.25" thickBot="1" x14ac:dyDescent="0.3">
      <c r="A29" s="3"/>
      <c r="B29" s="5" t="s">
        <v>52</v>
      </c>
      <c r="C29" s="43">
        <f>расходы!G55</f>
        <v>154509.01</v>
      </c>
    </row>
    <row r="30" spans="1:3" ht="39" customHeight="1" x14ac:dyDescent="0.25">
      <c r="A30" s="96" t="s">
        <v>237</v>
      </c>
      <c r="B30" s="97"/>
      <c r="C30" s="97"/>
    </row>
    <row r="31" spans="1:3" ht="30" x14ac:dyDescent="0.25">
      <c r="A31" s="15" t="s">
        <v>142</v>
      </c>
      <c r="B31" s="9" t="s">
        <v>53</v>
      </c>
      <c r="C31" s="9" t="s">
        <v>156</v>
      </c>
    </row>
    <row r="32" spans="1:3" ht="30" x14ac:dyDescent="0.25">
      <c r="A32" s="9"/>
      <c r="B32" s="9" t="s">
        <v>55</v>
      </c>
      <c r="C32" s="9" t="s">
        <v>157</v>
      </c>
    </row>
    <row r="33" spans="1:7" x14ac:dyDescent="0.25">
      <c r="A33" s="9"/>
      <c r="B33" s="9" t="s">
        <v>57</v>
      </c>
      <c r="C33" s="9" t="s">
        <v>61</v>
      </c>
    </row>
    <row r="34" spans="1:7" x14ac:dyDescent="0.25">
      <c r="A34" s="9"/>
      <c r="B34" s="9" t="s">
        <v>59</v>
      </c>
      <c r="C34" s="41">
        <v>0</v>
      </c>
      <c r="F34" s="20">
        <f>(C38+C42+C50+C54+C58+C34+C46)</f>
        <v>5.1548881838169294</v>
      </c>
      <c r="G34">
        <f>F34*M9*3</f>
        <v>154509.00999999998</v>
      </c>
    </row>
    <row r="35" spans="1:7" ht="30" x14ac:dyDescent="0.25">
      <c r="A35" s="15" t="s">
        <v>143</v>
      </c>
      <c r="B35" s="9" t="s">
        <v>53</v>
      </c>
      <c r="C35" s="9" t="s">
        <v>54</v>
      </c>
    </row>
    <row r="36" spans="1:7" ht="30" x14ac:dyDescent="0.25">
      <c r="A36" s="9"/>
      <c r="B36" s="9" t="s">
        <v>55</v>
      </c>
      <c r="C36" s="9" t="s">
        <v>56</v>
      </c>
    </row>
    <row r="37" spans="1:7" x14ac:dyDescent="0.25">
      <c r="A37" s="9"/>
      <c r="B37" s="9" t="s">
        <v>57</v>
      </c>
      <c r="C37" s="9" t="s">
        <v>58</v>
      </c>
    </row>
    <row r="38" spans="1:7" x14ac:dyDescent="0.25">
      <c r="A38" s="9"/>
      <c r="B38" s="9" t="s">
        <v>59</v>
      </c>
      <c r="C38" s="41">
        <f>GETPIVOTDATA("сумма",расходы!$A$54,"статья","Проверка системы вентиляции, дымоходов")/расходы!D53/3</f>
        <v>0.16723884256988719</v>
      </c>
    </row>
    <row r="39" spans="1:7" ht="30" x14ac:dyDescent="0.25">
      <c r="A39" s="15" t="s">
        <v>144</v>
      </c>
      <c r="B39" s="9" t="s">
        <v>53</v>
      </c>
      <c r="C39" s="9" t="s">
        <v>158</v>
      </c>
    </row>
    <row r="40" spans="1:7" ht="30" x14ac:dyDescent="0.25">
      <c r="A40" s="15"/>
      <c r="B40" s="9" t="s">
        <v>55</v>
      </c>
      <c r="C40" s="9" t="s">
        <v>63</v>
      </c>
    </row>
    <row r="41" spans="1:7" x14ac:dyDescent="0.25">
      <c r="A41" s="15"/>
      <c r="B41" s="9" t="s">
        <v>57</v>
      </c>
      <c r="C41" s="9" t="s">
        <v>58</v>
      </c>
    </row>
    <row r="42" spans="1:7" x14ac:dyDescent="0.25">
      <c r="A42" s="15"/>
      <c r="B42" s="9" t="s">
        <v>59</v>
      </c>
      <c r="C42" s="41">
        <v>0</v>
      </c>
    </row>
    <row r="43" spans="1:7" ht="66" customHeight="1" x14ac:dyDescent="0.25">
      <c r="A43" s="15" t="s">
        <v>145</v>
      </c>
      <c r="B43" s="9" t="s">
        <v>53</v>
      </c>
      <c r="C43" s="9" t="s">
        <v>236</v>
      </c>
    </row>
    <row r="44" spans="1:7" ht="30" x14ac:dyDescent="0.25">
      <c r="A44" s="9"/>
      <c r="B44" s="9" t="s">
        <v>55</v>
      </c>
      <c r="C44" s="9" t="s">
        <v>60</v>
      </c>
    </row>
    <row r="45" spans="1:7" x14ac:dyDescent="0.25">
      <c r="A45" s="9"/>
      <c r="B45" s="9" t="s">
        <v>57</v>
      </c>
      <c r="C45" s="9" t="s">
        <v>61</v>
      </c>
    </row>
    <row r="46" spans="1:7" x14ac:dyDescent="0.25">
      <c r="A46" s="9"/>
      <c r="B46" s="9" t="s">
        <v>59</v>
      </c>
      <c r="C46" s="41">
        <f>GETPIVOTDATA("сумма",расходы!$A$54,"статья","Техническое обслуживание узлов ГВС и ИТП")/расходы!D53/3</f>
        <v>0.12010689513667162</v>
      </c>
    </row>
    <row r="47" spans="1:7" ht="45" x14ac:dyDescent="0.25">
      <c r="A47" s="15" t="s">
        <v>159</v>
      </c>
      <c r="B47" s="9" t="s">
        <v>53</v>
      </c>
      <c r="C47" s="9" t="s">
        <v>141</v>
      </c>
    </row>
    <row r="48" spans="1:7" ht="30" x14ac:dyDescent="0.25">
      <c r="A48" s="9"/>
      <c r="B48" s="9" t="s">
        <v>55</v>
      </c>
      <c r="C48" s="9" t="s">
        <v>60</v>
      </c>
    </row>
    <row r="49" spans="1:3" x14ac:dyDescent="0.25">
      <c r="A49" s="9"/>
      <c r="B49" s="9" t="s">
        <v>57</v>
      </c>
      <c r="C49" s="9" t="s">
        <v>61</v>
      </c>
    </row>
    <row r="50" spans="1:3" x14ac:dyDescent="0.25">
      <c r="A50" s="9"/>
      <c r="B50" s="9" t="s">
        <v>59</v>
      </c>
      <c r="C50" s="41">
        <f>расходы!H55/расходы!D53/3</f>
        <v>1.1677059249398631</v>
      </c>
    </row>
    <row r="51" spans="1:3" ht="45" x14ac:dyDescent="0.25">
      <c r="A51" s="15" t="s">
        <v>160</v>
      </c>
      <c r="B51" s="9" t="s">
        <v>53</v>
      </c>
      <c r="C51" s="9" t="s">
        <v>62</v>
      </c>
    </row>
    <row r="52" spans="1:3" ht="30" x14ac:dyDescent="0.25">
      <c r="A52" s="15"/>
      <c r="B52" s="9" t="s">
        <v>55</v>
      </c>
      <c r="C52" s="9" t="s">
        <v>63</v>
      </c>
    </row>
    <row r="53" spans="1:3" x14ac:dyDescent="0.25">
      <c r="A53" s="15"/>
      <c r="B53" s="9" t="s">
        <v>57</v>
      </c>
      <c r="C53" s="9" t="s">
        <v>58</v>
      </c>
    </row>
    <row r="54" spans="1:3" x14ac:dyDescent="0.25">
      <c r="A54" s="15"/>
      <c r="B54" s="9" t="s">
        <v>59</v>
      </c>
      <c r="C54" s="41">
        <f>GETPIVOTDATA("сумма",расходы!$A$54,"статья","Расходы на услуги рабочих, выполняющих обслуживание систем инженерно-технических обеспечения.")/расходы!D53/3</f>
        <v>3.0968545338684756</v>
      </c>
    </row>
    <row r="55" spans="1:3" ht="30" x14ac:dyDescent="0.25">
      <c r="A55" s="15" t="s">
        <v>235</v>
      </c>
      <c r="B55" s="9" t="s">
        <v>53</v>
      </c>
      <c r="C55" s="9" t="s">
        <v>64</v>
      </c>
    </row>
    <row r="56" spans="1:3" ht="30" x14ac:dyDescent="0.25">
      <c r="A56" s="15"/>
      <c r="B56" s="9" t="s">
        <v>55</v>
      </c>
      <c r="C56" s="9" t="s">
        <v>63</v>
      </c>
    </row>
    <row r="57" spans="1:3" x14ac:dyDescent="0.25">
      <c r="A57" s="15"/>
      <c r="B57" s="9" t="s">
        <v>57</v>
      </c>
      <c r="C57" s="9" t="s">
        <v>58</v>
      </c>
    </row>
    <row r="58" spans="1:3" x14ac:dyDescent="0.25">
      <c r="A58" s="9"/>
      <c r="B58" s="9" t="s">
        <v>59</v>
      </c>
      <c r="C58" s="41">
        <f>GETPIVOTDATA("сумма",расходы!$A$54,"статья","Отчисления на социальные нужды п. 21.7")/расходы!D53/3</f>
        <v>0.60298198730203212</v>
      </c>
    </row>
    <row r="59" spans="1:3" ht="15.75" thickBot="1" x14ac:dyDescent="0.3">
      <c r="A59" s="111"/>
      <c r="B59" s="111"/>
      <c r="C59" s="111"/>
    </row>
    <row r="60" spans="1:3" ht="42.75" x14ac:dyDescent="0.25">
      <c r="A60" s="44" t="s">
        <v>65</v>
      </c>
      <c r="B60" s="45" t="s">
        <v>66</v>
      </c>
      <c r="C60" s="46" t="s">
        <v>146</v>
      </c>
    </row>
    <row r="61" spans="1:3" ht="29.25" thickBot="1" x14ac:dyDescent="0.3">
      <c r="A61" s="47"/>
      <c r="B61" s="48" t="s">
        <v>52</v>
      </c>
      <c r="C61" s="43">
        <f>расходы!G56</f>
        <v>206754.34</v>
      </c>
    </row>
    <row r="62" spans="1:3" ht="43.5" customHeight="1" x14ac:dyDescent="0.25">
      <c r="A62" s="96" t="s">
        <v>226</v>
      </c>
      <c r="B62" s="97"/>
      <c r="C62" s="97"/>
    </row>
    <row r="63" spans="1:3" ht="45" x14ac:dyDescent="0.25">
      <c r="A63" s="15" t="s">
        <v>147</v>
      </c>
      <c r="B63" s="9" t="s">
        <v>53</v>
      </c>
      <c r="C63" s="9" t="s">
        <v>67</v>
      </c>
    </row>
    <row r="64" spans="1:3" ht="30" x14ac:dyDescent="0.25">
      <c r="A64" s="15"/>
      <c r="B64" s="9" t="s">
        <v>55</v>
      </c>
      <c r="C64" s="9" t="s">
        <v>60</v>
      </c>
    </row>
    <row r="65" spans="1:7" x14ac:dyDescent="0.25">
      <c r="A65" s="15"/>
      <c r="B65" s="9" t="s">
        <v>57</v>
      </c>
      <c r="C65" s="9" t="s">
        <v>58</v>
      </c>
      <c r="F65" s="20">
        <f>C66+C70+C74</f>
        <v>6.8979505092865985</v>
      </c>
      <c r="G65">
        <f>F65*M9*3</f>
        <v>206754.34000000003</v>
      </c>
    </row>
    <row r="66" spans="1:7" x14ac:dyDescent="0.25">
      <c r="A66" s="15"/>
      <c r="B66" s="9" t="s">
        <v>59</v>
      </c>
      <c r="C66" s="41">
        <f>GETPIVOTDATA("сумма",расходы!$A$54,"статья","Материальные расходы по обслуживанию и благоустройству жилого дома.")/расходы!D53/3+расходы!H56/расходы!D53/3</f>
        <v>1.2019534051972922</v>
      </c>
    </row>
    <row r="67" spans="1:7" ht="45" x14ac:dyDescent="0.25">
      <c r="A67" s="15" t="s">
        <v>148</v>
      </c>
      <c r="B67" s="9" t="s">
        <v>53</v>
      </c>
      <c r="C67" s="9" t="s">
        <v>68</v>
      </c>
    </row>
    <row r="68" spans="1:7" ht="30" x14ac:dyDescent="0.25">
      <c r="A68" s="15"/>
      <c r="B68" s="9" t="s">
        <v>55</v>
      </c>
      <c r="C68" s="9" t="s">
        <v>63</v>
      </c>
    </row>
    <row r="69" spans="1:7" x14ac:dyDescent="0.25">
      <c r="A69" s="15"/>
      <c r="B69" s="9" t="s">
        <v>57</v>
      </c>
      <c r="C69" s="9" t="s">
        <v>58</v>
      </c>
    </row>
    <row r="70" spans="1:7" x14ac:dyDescent="0.25">
      <c r="A70" s="15"/>
      <c r="B70" s="9" t="s">
        <v>59</v>
      </c>
      <c r="C70" s="41">
        <f>GETPIVOTDATA("сумма",расходы!$A$54,"статья","Расходы на услуги рабочих, выполняющих обслуживание и благоустройство жилого дома.")/расходы!D53/3</f>
        <v>4.6916545725695871</v>
      </c>
    </row>
    <row r="71" spans="1:7" ht="30" x14ac:dyDescent="0.25">
      <c r="A71" s="15" t="s">
        <v>149</v>
      </c>
      <c r="B71" s="9" t="s">
        <v>53</v>
      </c>
      <c r="C71" s="9" t="s">
        <v>64</v>
      </c>
    </row>
    <row r="72" spans="1:7" ht="30" x14ac:dyDescent="0.25">
      <c r="A72" s="15"/>
      <c r="B72" s="9" t="s">
        <v>55</v>
      </c>
      <c r="C72" s="9" t="s">
        <v>63</v>
      </c>
    </row>
    <row r="73" spans="1:7" x14ac:dyDescent="0.25">
      <c r="A73" s="15"/>
      <c r="B73" s="9" t="s">
        <v>57</v>
      </c>
      <c r="C73" s="9" t="s">
        <v>58</v>
      </c>
    </row>
    <row r="74" spans="1:7" x14ac:dyDescent="0.25">
      <c r="A74" s="15"/>
      <c r="B74" s="9" t="s">
        <v>59</v>
      </c>
      <c r="C74" s="41">
        <f>GETPIVOTDATA("сумма",расходы!$A$54,"статья","Отчисления на социальные нужды п 22")/расходы!D53/3</f>
        <v>1.0043425315197192</v>
      </c>
    </row>
    <row r="75" spans="1:7" ht="15.75" thickBot="1" x14ac:dyDescent="0.3">
      <c r="A75" s="111"/>
      <c r="B75" s="111"/>
      <c r="C75" s="111"/>
    </row>
    <row r="76" spans="1:7" ht="28.5" x14ac:dyDescent="0.25">
      <c r="A76" s="49" t="s">
        <v>69</v>
      </c>
      <c r="B76" s="50" t="s">
        <v>70</v>
      </c>
      <c r="C76" s="46" t="s">
        <v>71</v>
      </c>
    </row>
    <row r="77" spans="1:7" ht="29.25" thickBot="1" x14ac:dyDescent="0.3">
      <c r="A77" s="47"/>
      <c r="B77" s="48" t="s">
        <v>52</v>
      </c>
      <c r="C77" s="43">
        <f>расходы!G57+расходы!L50</f>
        <v>177058.88</v>
      </c>
      <c r="E77">
        <f>C77/3*12</f>
        <v>708235.52</v>
      </c>
    </row>
    <row r="78" spans="1:7" ht="48" customHeight="1" x14ac:dyDescent="0.25">
      <c r="A78" s="96" t="s">
        <v>238</v>
      </c>
      <c r="B78" s="97"/>
      <c r="C78" s="97"/>
    </row>
    <row r="79" spans="1:7" ht="30" x14ac:dyDescent="0.25">
      <c r="A79" s="15" t="s">
        <v>150</v>
      </c>
      <c r="B79" s="9" t="s">
        <v>53</v>
      </c>
      <c r="C79" s="9" t="s">
        <v>72</v>
      </c>
    </row>
    <row r="80" spans="1:7" ht="30" x14ac:dyDescent="0.25">
      <c r="A80" s="15"/>
      <c r="B80" s="9" t="s">
        <v>55</v>
      </c>
      <c r="C80" s="9" t="s">
        <v>73</v>
      </c>
    </row>
    <row r="81" spans="1:10" x14ac:dyDescent="0.25">
      <c r="A81" s="15"/>
      <c r="B81" s="9" t="s">
        <v>57</v>
      </c>
      <c r="C81" s="9" t="s">
        <v>58</v>
      </c>
    </row>
    <row r="82" spans="1:10" x14ac:dyDescent="0.25">
      <c r="A82" s="15"/>
      <c r="B82" s="9" t="s">
        <v>59</v>
      </c>
      <c r="C82" s="41">
        <f>GETPIVOTDATA("сумма",расходы!$A$54,"статья","Аренда нежилого помещения")/расходы!D53/3</f>
        <v>4.6662529651389735E-2</v>
      </c>
      <c r="G82" s="20">
        <f>C82+C86+C90+C95+C99+C103</f>
        <v>5.9072200925490357</v>
      </c>
      <c r="H82">
        <f>G82*M9*3</f>
        <v>177058.88</v>
      </c>
      <c r="J82" s="14"/>
    </row>
    <row r="83" spans="1:10" ht="30" x14ac:dyDescent="0.25">
      <c r="A83" s="15" t="s">
        <v>151</v>
      </c>
      <c r="B83" s="9" t="s">
        <v>53</v>
      </c>
      <c r="C83" s="9" t="s">
        <v>74</v>
      </c>
    </row>
    <row r="84" spans="1:10" ht="30" x14ac:dyDescent="0.25">
      <c r="A84" s="15"/>
      <c r="B84" s="9" t="s">
        <v>55</v>
      </c>
      <c r="C84" s="9" t="s">
        <v>73</v>
      </c>
    </row>
    <row r="85" spans="1:10" x14ac:dyDescent="0.25">
      <c r="A85" s="15"/>
      <c r="B85" s="9" t="s">
        <v>57</v>
      </c>
      <c r="C85" s="9" t="s">
        <v>58</v>
      </c>
    </row>
    <row r="86" spans="1:10" x14ac:dyDescent="0.25">
      <c r="A86" s="15"/>
      <c r="B86" s="9" t="s">
        <v>59</v>
      </c>
      <c r="C86" s="41">
        <f>GETPIVOTDATA("сумма",расходы!$A$54,"статья","Обслуживание ПК, 1С, ГИС ЖКХ, связь, интернет, услуги почты.")/расходы!D53/3+расходы!H57/расходы!D53/3</f>
        <v>0.13763316017922617</v>
      </c>
    </row>
    <row r="87" spans="1:10" ht="30" x14ac:dyDescent="0.25">
      <c r="A87" s="15" t="s">
        <v>152</v>
      </c>
      <c r="B87" s="9" t="s">
        <v>53</v>
      </c>
      <c r="C87" s="9" t="s">
        <v>75</v>
      </c>
    </row>
    <row r="88" spans="1:10" ht="30" x14ac:dyDescent="0.25">
      <c r="A88" s="15"/>
      <c r="B88" s="9" t="s">
        <v>55</v>
      </c>
      <c r="C88" s="9" t="s">
        <v>63</v>
      </c>
    </row>
    <row r="89" spans="1:10" x14ac:dyDescent="0.25">
      <c r="A89" s="15"/>
      <c r="B89" s="9" t="s">
        <v>57</v>
      </c>
      <c r="C89" s="9" t="s">
        <v>58</v>
      </c>
    </row>
    <row r="90" spans="1:10" x14ac:dyDescent="0.25">
      <c r="A90" s="15"/>
      <c r="B90" s="9" t="s">
        <v>59</v>
      </c>
      <c r="C90" s="41">
        <f>GETPIVOTDATA("сумма",расходы!$A$54,"статья","Ремонт и обслуживание автотранспорта")/расходы!D53/3</f>
        <v>4.5655633513827308E-2</v>
      </c>
    </row>
    <row r="91" spans="1:10" x14ac:dyDescent="0.25">
      <c r="A91" s="112" t="s">
        <v>153</v>
      </c>
      <c r="B91" s="95" t="s">
        <v>53</v>
      </c>
      <c r="C91" s="95" t="s">
        <v>76</v>
      </c>
    </row>
    <row r="92" spans="1:10" x14ac:dyDescent="0.25">
      <c r="A92" s="112"/>
      <c r="B92" s="95"/>
      <c r="C92" s="95"/>
    </row>
    <row r="93" spans="1:10" ht="30" x14ac:dyDescent="0.25">
      <c r="A93" s="15"/>
      <c r="B93" s="9" t="s">
        <v>55</v>
      </c>
      <c r="C93" s="9" t="s">
        <v>60</v>
      </c>
    </row>
    <row r="94" spans="1:10" x14ac:dyDescent="0.25">
      <c r="A94" s="15"/>
      <c r="B94" s="9" t="s">
        <v>57</v>
      </c>
      <c r="C94" s="9" t="s">
        <v>58</v>
      </c>
    </row>
    <row r="95" spans="1:10" x14ac:dyDescent="0.25">
      <c r="A95" s="15"/>
      <c r="B95" s="9" t="s">
        <v>59</v>
      </c>
      <c r="C95" s="41">
        <f>GETPIVOTDATA("сумма",расходы!$A$54,"статья","Материальные расходы по управлению многоквартирным домом")/3/расходы!D53+расходы!L50/расходы!D53/3+расходы!I57/расходы!D53/3</f>
        <v>1.2421431740916082</v>
      </c>
    </row>
    <row r="96" spans="1:10" ht="45" x14ac:dyDescent="0.25">
      <c r="A96" s="15" t="s">
        <v>154</v>
      </c>
      <c r="B96" s="9" t="s">
        <v>53</v>
      </c>
      <c r="C96" s="9" t="s">
        <v>77</v>
      </c>
    </row>
    <row r="97" spans="1:3" ht="30" x14ac:dyDescent="0.25">
      <c r="A97" s="15"/>
      <c r="B97" s="9" t="s">
        <v>55</v>
      </c>
      <c r="C97" s="9" t="s">
        <v>63</v>
      </c>
    </row>
    <row r="98" spans="1:3" x14ac:dyDescent="0.25">
      <c r="A98" s="15"/>
      <c r="B98" s="9" t="s">
        <v>57</v>
      </c>
      <c r="C98" s="9" t="s">
        <v>58</v>
      </c>
    </row>
    <row r="99" spans="1:3" x14ac:dyDescent="0.25">
      <c r="A99" s="15"/>
      <c r="B99" s="9" t="s">
        <v>59</v>
      </c>
      <c r="C99" s="41">
        <f>GETPIVOTDATA("сумма",расходы!$A$54,"статья","Расходы на услуги сотрудников, занимающихся управлением многоквартирного дома")/расходы!D53/3</f>
        <v>3.7261512746344247</v>
      </c>
    </row>
    <row r="100" spans="1:3" ht="30" x14ac:dyDescent="0.25">
      <c r="A100" s="15" t="s">
        <v>155</v>
      </c>
      <c r="B100" s="9" t="s">
        <v>53</v>
      </c>
      <c r="C100" s="9" t="s">
        <v>64</v>
      </c>
    </row>
    <row r="101" spans="1:3" ht="30" x14ac:dyDescent="0.25">
      <c r="A101" s="15"/>
      <c r="B101" s="9" t="s">
        <v>55</v>
      </c>
      <c r="C101" s="9" t="s">
        <v>63</v>
      </c>
    </row>
    <row r="102" spans="1:3" x14ac:dyDescent="0.25">
      <c r="A102" s="15"/>
      <c r="B102" s="9" t="s">
        <v>57</v>
      </c>
      <c r="C102" s="9" t="s">
        <v>58</v>
      </c>
    </row>
    <row r="103" spans="1:3" x14ac:dyDescent="0.25">
      <c r="A103" s="15"/>
      <c r="B103" s="9" t="s">
        <v>59</v>
      </c>
      <c r="C103" s="41">
        <f>GETPIVOTDATA("сумма",расходы!$A$54,"статья","Отчисления на социальные нужды п23.6")/расходы!D53/3</f>
        <v>0.70897432047855924</v>
      </c>
    </row>
    <row r="104" spans="1:3" x14ac:dyDescent="0.25">
      <c r="A104" s="95"/>
      <c r="B104" s="95"/>
      <c r="C104" s="95"/>
    </row>
    <row r="105" spans="1:3" ht="28.5" x14ac:dyDescent="0.25">
      <c r="A105" s="8" t="s">
        <v>78</v>
      </c>
      <c r="B105" s="8" t="s">
        <v>70</v>
      </c>
      <c r="C105" s="8" t="s">
        <v>79</v>
      </c>
    </row>
    <row r="106" spans="1:3" ht="28.5" x14ac:dyDescent="0.25">
      <c r="A106" s="8"/>
      <c r="B106" s="8" t="s">
        <v>52</v>
      </c>
      <c r="C106" s="41">
        <v>0</v>
      </c>
    </row>
    <row r="107" spans="1:3" ht="30" x14ac:dyDescent="0.25">
      <c r="A107" s="9"/>
      <c r="B107" s="9" t="s">
        <v>53</v>
      </c>
      <c r="C107" s="9" t="s">
        <v>79</v>
      </c>
    </row>
    <row r="108" spans="1:3" ht="30" x14ac:dyDescent="0.25">
      <c r="A108" s="9"/>
      <c r="B108" s="9" t="s">
        <v>55</v>
      </c>
      <c r="C108" s="9" t="s">
        <v>63</v>
      </c>
    </row>
    <row r="109" spans="1:3" x14ac:dyDescent="0.25">
      <c r="A109" s="9"/>
      <c r="B109" s="9" t="s">
        <v>57</v>
      </c>
      <c r="C109" s="9" t="s">
        <v>58</v>
      </c>
    </row>
    <row r="110" spans="1:3" x14ac:dyDescent="0.25">
      <c r="A110" s="9"/>
      <c r="B110" s="9" t="s">
        <v>59</v>
      </c>
      <c r="C110" s="41">
        <f>C106/M9/12</f>
        <v>0</v>
      </c>
    </row>
    <row r="111" spans="1:3" x14ac:dyDescent="0.25">
      <c r="A111" s="95"/>
      <c r="B111" s="95"/>
      <c r="C111" s="95"/>
    </row>
    <row r="112" spans="1:3" x14ac:dyDescent="0.25">
      <c r="A112" s="8" t="s">
        <v>80</v>
      </c>
      <c r="B112" s="8" t="s">
        <v>70</v>
      </c>
      <c r="C112" s="8" t="s">
        <v>81</v>
      </c>
    </row>
    <row r="113" spans="1:3" ht="28.5" x14ac:dyDescent="0.25">
      <c r="A113" s="8"/>
      <c r="B113" s="8" t="s">
        <v>52</v>
      </c>
      <c r="C113" s="41">
        <f>расходы!G59</f>
        <v>3831.26</v>
      </c>
    </row>
    <row r="114" spans="1:3" ht="30" x14ac:dyDescent="0.25">
      <c r="A114" s="9"/>
      <c r="B114" s="9" t="s">
        <v>53</v>
      </c>
      <c r="C114" s="9" t="s">
        <v>81</v>
      </c>
    </row>
    <row r="115" spans="1:3" ht="30" x14ac:dyDescent="0.25">
      <c r="A115" s="9"/>
      <c r="B115" s="9" t="s">
        <v>55</v>
      </c>
      <c r="C115" s="9" t="s">
        <v>63</v>
      </c>
    </row>
    <row r="116" spans="1:3" x14ac:dyDescent="0.25">
      <c r="A116" s="9"/>
      <c r="B116" s="9" t="s">
        <v>57</v>
      </c>
      <c r="C116" s="9" t="s">
        <v>58</v>
      </c>
    </row>
    <row r="117" spans="1:3" x14ac:dyDescent="0.25">
      <c r="A117" s="9"/>
      <c r="B117" s="9" t="s">
        <v>59</v>
      </c>
      <c r="C117" s="41">
        <f>C113/M9/3</f>
        <v>0.12782242862814572</v>
      </c>
    </row>
    <row r="118" spans="1:3" x14ac:dyDescent="0.25">
      <c r="A118" s="95"/>
      <c r="B118" s="95"/>
      <c r="C118" s="95"/>
    </row>
    <row r="119" spans="1:3" x14ac:dyDescent="0.25">
      <c r="A119" s="8" t="s">
        <v>82</v>
      </c>
      <c r="B119" s="8" t="s">
        <v>70</v>
      </c>
      <c r="C119" s="8" t="s">
        <v>83</v>
      </c>
    </row>
    <row r="120" spans="1:3" ht="28.5" x14ac:dyDescent="0.25">
      <c r="A120" s="8"/>
      <c r="B120" s="8" t="s">
        <v>52</v>
      </c>
      <c r="C120" s="41">
        <v>11100</v>
      </c>
    </row>
    <row r="121" spans="1:3" ht="30" x14ac:dyDescent="0.25">
      <c r="A121" s="9"/>
      <c r="B121" s="9" t="s">
        <v>53</v>
      </c>
      <c r="C121" s="9" t="s">
        <v>83</v>
      </c>
    </row>
    <row r="122" spans="1:3" ht="30" x14ac:dyDescent="0.25">
      <c r="A122" s="9"/>
      <c r="B122" s="9" t="s">
        <v>55</v>
      </c>
      <c r="C122" s="9" t="s">
        <v>84</v>
      </c>
    </row>
    <row r="123" spans="1:3" x14ac:dyDescent="0.25">
      <c r="A123" s="9"/>
      <c r="B123" s="9" t="s">
        <v>57</v>
      </c>
      <c r="C123" s="9" t="s">
        <v>58</v>
      </c>
    </row>
    <row r="124" spans="1:3" x14ac:dyDescent="0.25">
      <c r="A124" s="9"/>
      <c r="B124" s="9" t="s">
        <v>59</v>
      </c>
      <c r="C124" s="41">
        <f>C120/M9/7</f>
        <v>0.15871268285917323</v>
      </c>
    </row>
    <row r="125" spans="1:3" x14ac:dyDescent="0.25">
      <c r="A125" s="95"/>
      <c r="B125" s="95"/>
      <c r="C125" s="95"/>
    </row>
    <row r="126" spans="1:3" ht="57" x14ac:dyDescent="0.25">
      <c r="A126" s="16" t="s">
        <v>85</v>
      </c>
      <c r="B126" s="16" t="s">
        <v>70</v>
      </c>
      <c r="C126" s="8" t="s">
        <v>161</v>
      </c>
    </row>
    <row r="127" spans="1:3" ht="28.5" x14ac:dyDescent="0.25">
      <c r="A127" s="8"/>
      <c r="B127" s="8" t="s">
        <v>52</v>
      </c>
      <c r="C127" s="41">
        <f>расходы!D50</f>
        <v>66928.539999999994</v>
      </c>
    </row>
    <row r="128" spans="1:3" ht="30" x14ac:dyDescent="0.25">
      <c r="A128" s="9"/>
      <c r="B128" s="9" t="s">
        <v>53</v>
      </c>
      <c r="C128" s="9" t="s">
        <v>162</v>
      </c>
    </row>
    <row r="129" spans="1:3" ht="30" x14ac:dyDescent="0.25">
      <c r="A129" s="9"/>
      <c r="B129" s="9" t="s">
        <v>55</v>
      </c>
      <c r="C129" s="9" t="s">
        <v>63</v>
      </c>
    </row>
    <row r="130" spans="1:3" x14ac:dyDescent="0.25">
      <c r="A130" s="9"/>
      <c r="B130" s="9" t="s">
        <v>57</v>
      </c>
      <c r="C130" s="9" t="s">
        <v>163</v>
      </c>
    </row>
    <row r="131" spans="1:3" x14ac:dyDescent="0.25">
      <c r="A131" s="9"/>
      <c r="B131" s="9" t="s">
        <v>59</v>
      </c>
      <c r="C131" s="41">
        <f>C127/M9/12</f>
        <v>0.55823466218267581</v>
      </c>
    </row>
    <row r="132" spans="1:3" x14ac:dyDescent="0.25">
      <c r="A132" s="95"/>
      <c r="B132" s="95"/>
      <c r="C132" s="95"/>
    </row>
    <row r="133" spans="1:3" ht="28.5" x14ac:dyDescent="0.25">
      <c r="A133" s="8" t="s">
        <v>89</v>
      </c>
      <c r="B133" s="8" t="s">
        <v>70</v>
      </c>
      <c r="C133" s="8" t="s">
        <v>164</v>
      </c>
    </row>
    <row r="134" spans="1:3" ht="28.5" x14ac:dyDescent="0.25">
      <c r="A134" s="8"/>
      <c r="B134" s="8" t="s">
        <v>52</v>
      </c>
      <c r="C134" s="41">
        <v>0</v>
      </c>
    </row>
    <row r="135" spans="1:3" ht="30" x14ac:dyDescent="0.25">
      <c r="A135" s="9"/>
      <c r="B135" s="9" t="s">
        <v>53</v>
      </c>
      <c r="C135" s="9" t="s">
        <v>165</v>
      </c>
    </row>
    <row r="136" spans="1:3" ht="30" x14ac:dyDescent="0.25">
      <c r="A136" s="9"/>
      <c r="B136" s="9" t="s">
        <v>55</v>
      </c>
      <c r="C136" s="9" t="s">
        <v>166</v>
      </c>
    </row>
    <row r="137" spans="1:3" x14ac:dyDescent="0.25">
      <c r="A137" s="9"/>
      <c r="B137" s="9" t="s">
        <v>57</v>
      </c>
      <c r="C137" s="9" t="s">
        <v>61</v>
      </c>
    </row>
    <row r="138" spans="1:3" x14ac:dyDescent="0.25">
      <c r="A138" s="9"/>
      <c r="B138" s="9" t="s">
        <v>59</v>
      </c>
      <c r="C138" s="41">
        <f>C134/M9/12</f>
        <v>0</v>
      </c>
    </row>
    <row r="139" spans="1:3" x14ac:dyDescent="0.25">
      <c r="A139" s="95"/>
      <c r="B139" s="95"/>
      <c r="C139" s="95"/>
    </row>
    <row r="140" spans="1:3" ht="42" customHeight="1" x14ac:dyDescent="0.25">
      <c r="A140" s="8" t="s">
        <v>92</v>
      </c>
      <c r="B140" s="8" t="s">
        <v>70</v>
      </c>
      <c r="C140" s="8" t="s">
        <v>167</v>
      </c>
    </row>
    <row r="141" spans="1:3" ht="28.5" x14ac:dyDescent="0.25">
      <c r="A141" s="8"/>
      <c r="B141" s="8" t="s">
        <v>52</v>
      </c>
      <c r="C141" s="41">
        <v>0</v>
      </c>
    </row>
    <row r="142" spans="1:3" ht="30" x14ac:dyDescent="0.25">
      <c r="A142" s="9"/>
      <c r="B142" s="9" t="s">
        <v>53</v>
      </c>
      <c r="C142" s="9" t="s">
        <v>168</v>
      </c>
    </row>
    <row r="143" spans="1:3" ht="30" x14ac:dyDescent="0.25">
      <c r="A143" s="9"/>
      <c r="B143" s="9" t="s">
        <v>55</v>
      </c>
      <c r="C143" s="9" t="s">
        <v>63</v>
      </c>
    </row>
    <row r="144" spans="1:3" x14ac:dyDescent="0.25">
      <c r="A144" s="9"/>
      <c r="B144" s="9" t="s">
        <v>57</v>
      </c>
      <c r="C144" s="9" t="s">
        <v>58</v>
      </c>
    </row>
    <row r="145" spans="1:3" x14ac:dyDescent="0.25">
      <c r="A145" s="9"/>
      <c r="B145" s="9" t="s">
        <v>59</v>
      </c>
      <c r="C145" s="41">
        <f>C141/M9/7</f>
        <v>0</v>
      </c>
    </row>
    <row r="146" spans="1:3" ht="42.75" x14ac:dyDescent="0.25">
      <c r="A146" s="18">
        <v>30</v>
      </c>
      <c r="B146" s="8" t="s">
        <v>70</v>
      </c>
      <c r="C146" s="8" t="s">
        <v>219</v>
      </c>
    </row>
    <row r="147" spans="1:3" ht="28.5" x14ac:dyDescent="0.25">
      <c r="A147" s="8"/>
      <c r="B147" s="8" t="s">
        <v>52</v>
      </c>
      <c r="C147" s="41">
        <f>расходы!G16</f>
        <v>0</v>
      </c>
    </row>
    <row r="148" spans="1:3" ht="30" x14ac:dyDescent="0.25">
      <c r="A148" s="9"/>
      <c r="B148" s="9" t="s">
        <v>53</v>
      </c>
      <c r="C148" s="9"/>
    </row>
    <row r="149" spans="1:3" ht="30" x14ac:dyDescent="0.25">
      <c r="A149" s="9"/>
      <c r="B149" s="9" t="s">
        <v>55</v>
      </c>
      <c r="C149" s="9" t="s">
        <v>63</v>
      </c>
    </row>
    <row r="150" spans="1:3" x14ac:dyDescent="0.25">
      <c r="A150" s="9"/>
      <c r="B150" s="9" t="s">
        <v>57</v>
      </c>
      <c r="C150" s="9" t="s">
        <v>58</v>
      </c>
    </row>
    <row r="151" spans="1:3" x14ac:dyDescent="0.25">
      <c r="A151" s="9"/>
      <c r="B151" s="9" t="s">
        <v>59</v>
      </c>
      <c r="C151" s="41">
        <f>C147/7/M9</f>
        <v>0</v>
      </c>
    </row>
    <row r="152" spans="1:3" x14ac:dyDescent="0.25">
      <c r="A152" s="104"/>
      <c r="B152" s="105"/>
      <c r="C152" s="106"/>
    </row>
    <row r="153" spans="1:3" x14ac:dyDescent="0.25">
      <c r="A153" s="8" t="s">
        <v>95</v>
      </c>
      <c r="B153" s="9" t="s">
        <v>86</v>
      </c>
      <c r="C153" s="9"/>
    </row>
    <row r="154" spans="1:3" ht="30" x14ac:dyDescent="0.25">
      <c r="A154" s="8"/>
      <c r="B154" s="9" t="s">
        <v>53</v>
      </c>
      <c r="C154" s="9" t="s">
        <v>87</v>
      </c>
    </row>
    <row r="155" spans="1:3" ht="30" x14ac:dyDescent="0.25">
      <c r="A155" s="8"/>
      <c r="B155" s="9" t="s">
        <v>55</v>
      </c>
      <c r="C155" s="9" t="s">
        <v>63</v>
      </c>
    </row>
    <row r="156" spans="1:3" x14ac:dyDescent="0.25">
      <c r="A156" s="8"/>
      <c r="B156" s="9" t="s">
        <v>57</v>
      </c>
      <c r="C156" s="9" t="s">
        <v>58</v>
      </c>
    </row>
    <row r="157" spans="1:3" x14ac:dyDescent="0.25">
      <c r="A157" s="8"/>
      <c r="B157" s="9" t="s">
        <v>59</v>
      </c>
      <c r="C157" s="40">
        <v>4.4000000000000004</v>
      </c>
    </row>
    <row r="158" spans="1:3" x14ac:dyDescent="0.25">
      <c r="A158" s="17" t="s">
        <v>88</v>
      </c>
      <c r="B158" s="10"/>
      <c r="C158" s="10"/>
    </row>
    <row r="159" spans="1:3" x14ac:dyDescent="0.25">
      <c r="A159" s="8" t="s">
        <v>98</v>
      </c>
      <c r="B159" s="8" t="s">
        <v>90</v>
      </c>
      <c r="C159" s="9" t="s">
        <v>91</v>
      </c>
    </row>
    <row r="160" spans="1:3" x14ac:dyDescent="0.25">
      <c r="A160" s="8" t="s">
        <v>99</v>
      </c>
      <c r="B160" s="8" t="s">
        <v>93</v>
      </c>
      <c r="C160" s="9" t="s">
        <v>91</v>
      </c>
    </row>
    <row r="161" spans="1:3" ht="28.5" x14ac:dyDescent="0.25">
      <c r="A161" s="8" t="s">
        <v>100</v>
      </c>
      <c r="B161" s="8" t="s">
        <v>94</v>
      </c>
      <c r="C161" s="9" t="s">
        <v>91</v>
      </c>
    </row>
    <row r="162" spans="1:3" x14ac:dyDescent="0.25">
      <c r="A162" s="8" t="s">
        <v>101</v>
      </c>
      <c r="B162" s="8" t="s">
        <v>96</v>
      </c>
      <c r="C162" s="9" t="s">
        <v>15</v>
      </c>
    </row>
    <row r="163" spans="1:3" x14ac:dyDescent="0.25">
      <c r="A163" s="17" t="s">
        <v>97</v>
      </c>
      <c r="B163" s="10"/>
      <c r="C163" s="10"/>
    </row>
    <row r="164" spans="1:3" ht="30" x14ac:dyDescent="0.25">
      <c r="A164" s="9" t="s">
        <v>102</v>
      </c>
      <c r="B164" s="9" t="s">
        <v>14</v>
      </c>
      <c r="C164" s="9" t="s">
        <v>15</v>
      </c>
    </row>
    <row r="165" spans="1:3" ht="30" x14ac:dyDescent="0.25">
      <c r="A165" s="9" t="s">
        <v>103</v>
      </c>
      <c r="B165" s="9" t="s">
        <v>17</v>
      </c>
      <c r="C165" s="9" t="s">
        <v>15</v>
      </c>
    </row>
    <row r="166" spans="1:3" x14ac:dyDescent="0.25">
      <c r="A166" s="9" t="s">
        <v>105</v>
      </c>
      <c r="B166" s="9" t="s">
        <v>19</v>
      </c>
      <c r="C166" s="9" t="s">
        <v>15</v>
      </c>
    </row>
    <row r="167" spans="1:3" ht="30" x14ac:dyDescent="0.25">
      <c r="A167" s="9" t="s">
        <v>116</v>
      </c>
      <c r="B167" s="9" t="s">
        <v>43</v>
      </c>
      <c r="C167" s="9" t="s">
        <v>15</v>
      </c>
    </row>
    <row r="168" spans="1:3" ht="30" x14ac:dyDescent="0.25">
      <c r="A168" s="9" t="s">
        <v>118</v>
      </c>
      <c r="B168" s="9" t="s">
        <v>45</v>
      </c>
      <c r="C168" s="9" t="s">
        <v>15</v>
      </c>
    </row>
    <row r="169" spans="1:3" x14ac:dyDescent="0.25">
      <c r="A169" s="9" t="s">
        <v>169</v>
      </c>
      <c r="B169" s="9" t="s">
        <v>47</v>
      </c>
      <c r="C169" s="9" t="s">
        <v>15</v>
      </c>
    </row>
    <row r="170" spans="1:3" ht="40.5" customHeight="1" x14ac:dyDescent="0.25">
      <c r="A170" s="17" t="s">
        <v>104</v>
      </c>
      <c r="B170" s="10"/>
      <c r="C170" s="10"/>
    </row>
    <row r="171" spans="1:3" x14ac:dyDescent="0.25">
      <c r="A171" s="8" t="s">
        <v>121</v>
      </c>
      <c r="B171" s="8" t="s">
        <v>106</v>
      </c>
      <c r="C171" s="8" t="s">
        <v>107</v>
      </c>
    </row>
    <row r="172" spans="1:3" x14ac:dyDescent="0.25">
      <c r="A172" s="9"/>
      <c r="B172" s="9" t="s">
        <v>57</v>
      </c>
      <c r="C172" s="9"/>
    </row>
    <row r="173" spans="1:3" x14ac:dyDescent="0.25">
      <c r="A173" s="9"/>
      <c r="B173" s="9" t="s">
        <v>108</v>
      </c>
      <c r="C173" s="9"/>
    </row>
    <row r="174" spans="1:3" x14ac:dyDescent="0.25">
      <c r="A174" s="9"/>
      <c r="B174" s="9" t="s">
        <v>109</v>
      </c>
      <c r="C174" s="9" t="s">
        <v>15</v>
      </c>
    </row>
    <row r="175" spans="1:3" x14ac:dyDescent="0.25">
      <c r="A175" s="9"/>
      <c r="B175" s="9" t="s">
        <v>110</v>
      </c>
      <c r="C175" s="9" t="s">
        <v>15</v>
      </c>
    </row>
    <row r="176" spans="1:3" x14ac:dyDescent="0.25">
      <c r="A176" s="9"/>
      <c r="B176" s="9" t="s">
        <v>111</v>
      </c>
      <c r="C176" s="9" t="s">
        <v>15</v>
      </c>
    </row>
    <row r="177" spans="1:3" ht="30" x14ac:dyDescent="0.25">
      <c r="A177" s="9"/>
      <c r="B177" s="9" t="s">
        <v>112</v>
      </c>
      <c r="C177" s="9" t="s">
        <v>15</v>
      </c>
    </row>
    <row r="178" spans="1:3" ht="30" x14ac:dyDescent="0.25">
      <c r="A178" s="9"/>
      <c r="B178" s="9" t="s">
        <v>113</v>
      </c>
      <c r="C178" s="9" t="s">
        <v>15</v>
      </c>
    </row>
    <row r="179" spans="1:3" ht="30" x14ac:dyDescent="0.25">
      <c r="A179" s="9"/>
      <c r="B179" s="9" t="s">
        <v>114</v>
      </c>
      <c r="C179" s="9" t="s">
        <v>15</v>
      </c>
    </row>
    <row r="180" spans="1:3" ht="30" x14ac:dyDescent="0.25">
      <c r="A180" s="9"/>
      <c r="B180" s="9" t="s">
        <v>115</v>
      </c>
      <c r="C180" s="9" t="s">
        <v>15</v>
      </c>
    </row>
    <row r="181" spans="1:3" x14ac:dyDescent="0.25">
      <c r="A181" s="17"/>
      <c r="B181" s="10"/>
      <c r="C181" s="10"/>
    </row>
    <row r="182" spans="1:3" x14ac:dyDescent="0.25">
      <c r="A182" s="8" t="s">
        <v>123</v>
      </c>
      <c r="B182" s="8" t="s">
        <v>106</v>
      </c>
      <c r="C182" s="8" t="s">
        <v>117</v>
      </c>
    </row>
    <row r="183" spans="1:3" x14ac:dyDescent="0.25">
      <c r="A183" s="9"/>
      <c r="B183" s="9" t="s">
        <v>57</v>
      </c>
      <c r="C183" s="9"/>
    </row>
    <row r="184" spans="1:3" x14ac:dyDescent="0.25">
      <c r="A184" s="9"/>
      <c r="B184" s="9" t="s">
        <v>108</v>
      </c>
      <c r="C184" s="9"/>
    </row>
    <row r="185" spans="1:3" x14ac:dyDescent="0.25">
      <c r="A185" s="9"/>
      <c r="B185" s="9" t="s">
        <v>109</v>
      </c>
      <c r="C185" s="9" t="s">
        <v>15</v>
      </c>
    </row>
    <row r="186" spans="1:3" x14ac:dyDescent="0.25">
      <c r="A186" s="9"/>
      <c r="B186" s="9" t="s">
        <v>110</v>
      </c>
      <c r="C186" s="9" t="s">
        <v>15</v>
      </c>
    </row>
    <row r="187" spans="1:3" x14ac:dyDescent="0.25">
      <c r="A187" s="9"/>
      <c r="B187" s="9" t="s">
        <v>111</v>
      </c>
      <c r="C187" s="9" t="s">
        <v>15</v>
      </c>
    </row>
    <row r="188" spans="1:3" ht="30" x14ac:dyDescent="0.25">
      <c r="A188" s="9"/>
      <c r="B188" s="9" t="s">
        <v>112</v>
      </c>
      <c r="C188" s="9" t="s">
        <v>15</v>
      </c>
    </row>
    <row r="189" spans="1:3" ht="30" x14ac:dyDescent="0.25">
      <c r="A189" s="9"/>
      <c r="B189" s="9" t="s">
        <v>113</v>
      </c>
      <c r="C189" s="9" t="s">
        <v>15</v>
      </c>
    </row>
    <row r="190" spans="1:3" ht="30" x14ac:dyDescent="0.25">
      <c r="A190" s="9"/>
      <c r="B190" s="9" t="s">
        <v>114</v>
      </c>
      <c r="C190" s="9" t="s">
        <v>15</v>
      </c>
    </row>
    <row r="191" spans="1:3" ht="30" x14ac:dyDescent="0.25">
      <c r="A191" s="9"/>
      <c r="B191" s="9" t="s">
        <v>115</v>
      </c>
      <c r="C191" s="9" t="s">
        <v>15</v>
      </c>
    </row>
    <row r="192" spans="1:3" x14ac:dyDescent="0.25">
      <c r="A192" s="17"/>
      <c r="B192" s="10"/>
      <c r="C192" s="10"/>
    </row>
    <row r="193" spans="1:3" x14ac:dyDescent="0.25">
      <c r="A193" s="8" t="s">
        <v>126</v>
      </c>
      <c r="B193" s="8" t="s">
        <v>106</v>
      </c>
      <c r="C193" s="8" t="s">
        <v>119</v>
      </c>
    </row>
    <row r="194" spans="1:3" x14ac:dyDescent="0.25">
      <c r="A194" s="9"/>
      <c r="B194" s="9" t="s">
        <v>57</v>
      </c>
      <c r="C194" s="9"/>
    </row>
    <row r="195" spans="1:3" x14ac:dyDescent="0.25">
      <c r="A195" s="9"/>
      <c r="B195" s="9" t="s">
        <v>108</v>
      </c>
      <c r="C195" s="9"/>
    </row>
    <row r="196" spans="1:3" x14ac:dyDescent="0.25">
      <c r="A196" s="9"/>
      <c r="B196" s="9" t="s">
        <v>109</v>
      </c>
      <c r="C196" s="9" t="s">
        <v>15</v>
      </c>
    </row>
    <row r="197" spans="1:3" x14ac:dyDescent="0.25">
      <c r="A197" s="9"/>
      <c r="B197" s="9" t="s">
        <v>110</v>
      </c>
      <c r="C197" s="9" t="s">
        <v>15</v>
      </c>
    </row>
    <row r="198" spans="1:3" x14ac:dyDescent="0.25">
      <c r="A198" s="9"/>
      <c r="B198" s="9" t="s">
        <v>111</v>
      </c>
      <c r="C198" s="9" t="s">
        <v>15</v>
      </c>
    </row>
    <row r="199" spans="1:3" ht="30" x14ac:dyDescent="0.25">
      <c r="A199" s="9"/>
      <c r="B199" s="9" t="s">
        <v>112</v>
      </c>
      <c r="C199" s="9" t="s">
        <v>15</v>
      </c>
    </row>
    <row r="200" spans="1:3" ht="30" x14ac:dyDescent="0.25">
      <c r="A200" s="9"/>
      <c r="B200" s="9" t="s">
        <v>113</v>
      </c>
      <c r="C200" s="9" t="s">
        <v>15</v>
      </c>
    </row>
    <row r="201" spans="1:3" ht="30" x14ac:dyDescent="0.25">
      <c r="A201" s="9"/>
      <c r="B201" s="9" t="s">
        <v>114</v>
      </c>
      <c r="C201" s="9" t="s">
        <v>15</v>
      </c>
    </row>
    <row r="202" spans="1:3" ht="30" x14ac:dyDescent="0.25">
      <c r="A202" s="9"/>
      <c r="B202" s="9" t="s">
        <v>115</v>
      </c>
      <c r="C202" s="9" t="s">
        <v>15</v>
      </c>
    </row>
    <row r="203" spans="1:3" x14ac:dyDescent="0.25">
      <c r="A203" s="17"/>
      <c r="B203" s="10"/>
      <c r="C203" s="10"/>
    </row>
    <row r="204" spans="1:3" x14ac:dyDescent="0.25">
      <c r="A204" s="8" t="s">
        <v>127</v>
      </c>
      <c r="B204" s="8" t="s">
        <v>106</v>
      </c>
      <c r="C204" s="8" t="s">
        <v>120</v>
      </c>
    </row>
    <row r="205" spans="1:3" x14ac:dyDescent="0.25">
      <c r="A205" s="9"/>
      <c r="B205" s="9" t="s">
        <v>57</v>
      </c>
      <c r="C205" s="9"/>
    </row>
    <row r="206" spans="1:3" x14ac:dyDescent="0.25">
      <c r="A206" s="9"/>
      <c r="B206" s="9" t="s">
        <v>108</v>
      </c>
      <c r="C206" s="9"/>
    </row>
    <row r="207" spans="1:3" x14ac:dyDescent="0.25">
      <c r="A207" s="9"/>
      <c r="B207" s="9" t="s">
        <v>109</v>
      </c>
      <c r="C207" s="9" t="s">
        <v>15</v>
      </c>
    </row>
    <row r="208" spans="1:3" x14ac:dyDescent="0.25">
      <c r="A208" s="9"/>
      <c r="B208" s="9" t="s">
        <v>110</v>
      </c>
      <c r="C208" s="9" t="s">
        <v>15</v>
      </c>
    </row>
    <row r="209" spans="1:3" x14ac:dyDescent="0.25">
      <c r="A209" s="9"/>
      <c r="B209" s="9" t="s">
        <v>111</v>
      </c>
      <c r="C209" s="9" t="s">
        <v>15</v>
      </c>
    </row>
    <row r="210" spans="1:3" ht="30" x14ac:dyDescent="0.25">
      <c r="A210" s="9"/>
      <c r="B210" s="9" t="s">
        <v>112</v>
      </c>
      <c r="C210" s="9" t="s">
        <v>15</v>
      </c>
    </row>
    <row r="211" spans="1:3" ht="30" x14ac:dyDescent="0.25">
      <c r="A211" s="9"/>
      <c r="B211" s="9" t="s">
        <v>113</v>
      </c>
      <c r="C211" s="9" t="s">
        <v>15</v>
      </c>
    </row>
    <row r="212" spans="1:3" ht="30" x14ac:dyDescent="0.25">
      <c r="A212" s="9"/>
      <c r="B212" s="9" t="s">
        <v>114</v>
      </c>
      <c r="C212" s="9" t="s">
        <v>15</v>
      </c>
    </row>
    <row r="213" spans="1:3" ht="30" x14ac:dyDescent="0.25">
      <c r="A213" s="9"/>
      <c r="B213" s="9" t="s">
        <v>115</v>
      </c>
      <c r="C213" s="9" t="s">
        <v>15</v>
      </c>
    </row>
    <row r="214" spans="1:3" x14ac:dyDescent="0.25">
      <c r="A214" s="17"/>
      <c r="B214" s="10"/>
      <c r="C214" s="10"/>
    </row>
    <row r="215" spans="1:3" x14ac:dyDescent="0.25">
      <c r="A215" s="8" t="s">
        <v>129</v>
      </c>
      <c r="B215" s="8" t="s">
        <v>106</v>
      </c>
      <c r="C215" s="8" t="s">
        <v>122</v>
      </c>
    </row>
    <row r="216" spans="1:3" x14ac:dyDescent="0.25">
      <c r="A216" s="9"/>
      <c r="B216" s="9" t="s">
        <v>57</v>
      </c>
      <c r="C216" s="9"/>
    </row>
    <row r="217" spans="1:3" x14ac:dyDescent="0.25">
      <c r="A217" s="9"/>
      <c r="B217" s="9" t="s">
        <v>108</v>
      </c>
      <c r="C217" s="9"/>
    </row>
    <row r="218" spans="1:3" x14ac:dyDescent="0.25">
      <c r="A218" s="9"/>
      <c r="B218" s="9" t="s">
        <v>109</v>
      </c>
      <c r="C218" s="9" t="s">
        <v>15</v>
      </c>
    </row>
    <row r="219" spans="1:3" x14ac:dyDescent="0.25">
      <c r="A219" s="9"/>
      <c r="B219" s="9" t="s">
        <v>110</v>
      </c>
      <c r="C219" s="9" t="s">
        <v>15</v>
      </c>
    </row>
    <row r="220" spans="1:3" x14ac:dyDescent="0.25">
      <c r="A220" s="9"/>
      <c r="B220" s="9" t="s">
        <v>111</v>
      </c>
      <c r="C220" s="9" t="s">
        <v>15</v>
      </c>
    </row>
    <row r="221" spans="1:3" ht="30" x14ac:dyDescent="0.25">
      <c r="A221" s="9"/>
      <c r="B221" s="9" t="s">
        <v>112</v>
      </c>
      <c r="C221" s="9" t="s">
        <v>15</v>
      </c>
    </row>
    <row r="222" spans="1:3" ht="30" x14ac:dyDescent="0.25">
      <c r="A222" s="9"/>
      <c r="B222" s="9" t="s">
        <v>113</v>
      </c>
      <c r="C222" s="9" t="s">
        <v>15</v>
      </c>
    </row>
    <row r="223" spans="1:3" ht="30" x14ac:dyDescent="0.25">
      <c r="A223" s="9"/>
      <c r="B223" s="9" t="s">
        <v>114</v>
      </c>
      <c r="C223" s="9" t="s">
        <v>15</v>
      </c>
    </row>
    <row r="224" spans="1:3" ht="30" x14ac:dyDescent="0.25">
      <c r="A224" s="9"/>
      <c r="B224" s="9" t="s">
        <v>115</v>
      </c>
      <c r="C224" s="9" t="s">
        <v>15</v>
      </c>
    </row>
    <row r="225" spans="1:3" x14ac:dyDescent="0.25">
      <c r="A225" s="17"/>
      <c r="B225" s="10"/>
      <c r="C225" s="10"/>
    </row>
    <row r="226" spans="1:3" x14ac:dyDescent="0.25">
      <c r="A226" s="8" t="s">
        <v>130</v>
      </c>
      <c r="B226" s="8" t="s">
        <v>106</v>
      </c>
      <c r="C226" s="8" t="s">
        <v>124</v>
      </c>
    </row>
    <row r="227" spans="1:3" x14ac:dyDescent="0.25">
      <c r="A227" s="9"/>
      <c r="B227" s="9" t="s">
        <v>57</v>
      </c>
      <c r="C227" s="9"/>
    </row>
    <row r="228" spans="1:3" x14ac:dyDescent="0.25">
      <c r="A228" s="9"/>
      <c r="B228" s="9" t="s">
        <v>108</v>
      </c>
      <c r="C228" s="9"/>
    </row>
    <row r="229" spans="1:3" x14ac:dyDescent="0.25">
      <c r="A229" s="9"/>
      <c r="B229" s="9" t="s">
        <v>109</v>
      </c>
      <c r="C229" s="9" t="s">
        <v>15</v>
      </c>
    </row>
    <row r="230" spans="1:3" x14ac:dyDescent="0.25">
      <c r="A230" s="9"/>
      <c r="B230" s="9" t="s">
        <v>110</v>
      </c>
      <c r="C230" s="9" t="s">
        <v>15</v>
      </c>
    </row>
    <row r="231" spans="1:3" x14ac:dyDescent="0.25">
      <c r="A231" s="9"/>
      <c r="B231" s="9" t="s">
        <v>111</v>
      </c>
      <c r="C231" s="9" t="s">
        <v>15</v>
      </c>
    </row>
    <row r="232" spans="1:3" ht="30" x14ac:dyDescent="0.25">
      <c r="A232" s="9"/>
      <c r="B232" s="9" t="s">
        <v>112</v>
      </c>
      <c r="C232" s="9" t="s">
        <v>15</v>
      </c>
    </row>
    <row r="233" spans="1:3" ht="30" x14ac:dyDescent="0.25">
      <c r="A233" s="9"/>
      <c r="B233" s="9" t="s">
        <v>113</v>
      </c>
      <c r="C233" s="9" t="s">
        <v>15</v>
      </c>
    </row>
    <row r="234" spans="1:3" ht="30" x14ac:dyDescent="0.25">
      <c r="A234" s="9"/>
      <c r="B234" s="9" t="s">
        <v>114</v>
      </c>
      <c r="C234" s="9" t="s">
        <v>15</v>
      </c>
    </row>
    <row r="235" spans="1:3" ht="30" x14ac:dyDescent="0.25">
      <c r="A235" s="9"/>
      <c r="B235" s="9" t="s">
        <v>115</v>
      </c>
      <c r="C235" s="9" t="s">
        <v>15</v>
      </c>
    </row>
    <row r="236" spans="1:3" x14ac:dyDescent="0.25">
      <c r="A236" s="17"/>
      <c r="B236" s="10"/>
      <c r="C236" s="10"/>
    </row>
    <row r="237" spans="1:3" x14ac:dyDescent="0.25">
      <c r="A237" s="17" t="s">
        <v>125</v>
      </c>
      <c r="B237" s="10"/>
      <c r="C237" s="10"/>
    </row>
    <row r="238" spans="1:3" x14ac:dyDescent="0.25">
      <c r="A238" s="8" t="s">
        <v>132</v>
      </c>
      <c r="B238" s="9" t="s">
        <v>90</v>
      </c>
      <c r="C238" s="40">
        <v>0</v>
      </c>
    </row>
    <row r="239" spans="1:3" x14ac:dyDescent="0.25">
      <c r="A239" s="8" t="s">
        <v>134</v>
      </c>
      <c r="B239" s="9" t="s">
        <v>128</v>
      </c>
      <c r="C239" s="40">
        <v>0</v>
      </c>
    </row>
    <row r="240" spans="1:3" ht="30" x14ac:dyDescent="0.25">
      <c r="A240" s="8" t="s">
        <v>136</v>
      </c>
      <c r="B240" s="9" t="s">
        <v>94</v>
      </c>
      <c r="C240" s="40">
        <v>0</v>
      </c>
    </row>
    <row r="241" spans="1:3" x14ac:dyDescent="0.25">
      <c r="A241" s="8" t="s">
        <v>170</v>
      </c>
      <c r="B241" s="9" t="s">
        <v>96</v>
      </c>
      <c r="C241" s="9" t="s">
        <v>15</v>
      </c>
    </row>
    <row r="242" spans="1:3" x14ac:dyDescent="0.25">
      <c r="A242" s="17" t="s">
        <v>131</v>
      </c>
      <c r="B242" s="10"/>
      <c r="C242" s="10"/>
    </row>
    <row r="243" spans="1:3" x14ac:dyDescent="0.25">
      <c r="A243" s="8" t="s">
        <v>171</v>
      </c>
      <c r="B243" s="9" t="s">
        <v>133</v>
      </c>
      <c r="C243" s="40">
        <v>0</v>
      </c>
    </row>
    <row r="244" spans="1:3" x14ac:dyDescent="0.25">
      <c r="A244" s="8" t="s">
        <v>172</v>
      </c>
      <c r="B244" s="9" t="s">
        <v>135</v>
      </c>
      <c r="C244" s="40">
        <v>0</v>
      </c>
    </row>
    <row r="245" spans="1:3" ht="30" x14ac:dyDescent="0.25">
      <c r="A245" s="8" t="s">
        <v>176</v>
      </c>
      <c r="B245" s="9" t="s">
        <v>137</v>
      </c>
      <c r="C245" s="40" t="s">
        <v>178</v>
      </c>
    </row>
    <row r="246" spans="1:3" x14ac:dyDescent="0.25">
      <c r="A246" s="21"/>
    </row>
    <row r="247" spans="1:3" x14ac:dyDescent="0.25">
      <c r="A247" s="21"/>
    </row>
    <row r="248" spans="1:3" x14ac:dyDescent="0.25">
      <c r="A248" s="21"/>
    </row>
    <row r="249" spans="1:3" x14ac:dyDescent="0.25">
      <c r="A249" s="21"/>
    </row>
    <row r="250" spans="1:3" x14ac:dyDescent="0.25">
      <c r="A250" s="21" t="s">
        <v>138</v>
      </c>
    </row>
    <row r="251" spans="1:3" x14ac:dyDescent="0.25">
      <c r="A251" s="21" t="s">
        <v>139</v>
      </c>
    </row>
    <row r="252" spans="1:3" x14ac:dyDescent="0.25">
      <c r="A252" s="21"/>
    </row>
    <row r="253" spans="1:3" x14ac:dyDescent="0.25">
      <c r="A253" s="21"/>
    </row>
    <row r="254" spans="1:3" x14ac:dyDescent="0.25">
      <c r="A254" s="21"/>
    </row>
    <row r="255" spans="1:3" x14ac:dyDescent="0.25">
      <c r="A255" s="21"/>
    </row>
    <row r="256" spans="1:3" ht="14.25" customHeight="1" x14ac:dyDescent="0.25">
      <c r="A256" s="22" t="s">
        <v>140</v>
      </c>
    </row>
    <row r="257" spans="1:1" x14ac:dyDescent="0.25">
      <c r="A257" s="7"/>
    </row>
    <row r="258" spans="1:1" x14ac:dyDescent="0.25">
      <c r="A258" s="51" t="s">
        <v>240</v>
      </c>
    </row>
    <row r="259" spans="1:1" x14ac:dyDescent="0.25">
      <c r="A259" s="51" t="s">
        <v>241</v>
      </c>
    </row>
    <row r="260" spans="1:1" x14ac:dyDescent="0.25">
      <c r="A260" s="51" t="s">
        <v>242</v>
      </c>
    </row>
    <row r="261" spans="1:1" x14ac:dyDescent="0.25">
      <c r="A261" s="7"/>
    </row>
  </sheetData>
  <mergeCells count="23">
    <mergeCell ref="B1:C1"/>
    <mergeCell ref="B2:C2"/>
    <mergeCell ref="A152:C152"/>
    <mergeCell ref="A3:C3"/>
    <mergeCell ref="A104:C104"/>
    <mergeCell ref="A111:C111"/>
    <mergeCell ref="A118:C118"/>
    <mergeCell ref="A125:C125"/>
    <mergeCell ref="A132:C132"/>
    <mergeCell ref="A139:C139"/>
    <mergeCell ref="A27:A28"/>
    <mergeCell ref="B27:B28"/>
    <mergeCell ref="C27:C28"/>
    <mergeCell ref="A59:C59"/>
    <mergeCell ref="A75:C75"/>
    <mergeCell ref="A91:A92"/>
    <mergeCell ref="B91:B92"/>
    <mergeCell ref="C91:C92"/>
    <mergeCell ref="A8:C8"/>
    <mergeCell ref="A26:C26"/>
    <mergeCell ref="A30:C30"/>
    <mergeCell ref="A62:C62"/>
    <mergeCell ref="A78:C78"/>
  </mergeCells>
  <pageMargins left="0.70866141732283472" right="0.70866141732283472" top="0" bottom="0" header="0" footer="0"/>
  <pageSetup paperSize="9" scale="82" orientation="portrait" r:id="rId1"/>
  <rowBreaks count="2" manualBreakCount="2">
    <brk id="167" max="2" man="1"/>
    <brk id="21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48E09-1D24-4362-91D0-0460CCD331E4}">
  <dimension ref="A1:L71"/>
  <sheetViews>
    <sheetView topLeftCell="A46" workbookViewId="0">
      <selection activeCell="G58" sqref="G58"/>
    </sheetView>
  </sheetViews>
  <sheetFormatPr defaultRowHeight="15" x14ac:dyDescent="0.25"/>
  <cols>
    <col min="1" max="1" width="49.42578125" customWidth="1"/>
    <col min="2" max="2" width="13" customWidth="1"/>
    <col min="3" max="3" width="7.140625" style="27" customWidth="1"/>
    <col min="4" max="4" width="14.140625" customWidth="1"/>
    <col min="5" max="5" width="51.42578125" customWidth="1"/>
    <col min="6" max="6" width="8.5703125" customWidth="1"/>
    <col min="7" max="7" width="11.5703125" bestFit="1" customWidth="1"/>
    <col min="8" max="8" width="14.85546875" customWidth="1"/>
    <col min="12" max="12" width="11.42578125" bestFit="1" customWidth="1"/>
  </cols>
  <sheetData>
    <row r="1" spans="1:5" x14ac:dyDescent="0.25">
      <c r="A1" s="28" t="s">
        <v>228</v>
      </c>
      <c r="B1" s="29"/>
      <c r="C1" s="29"/>
      <c r="D1" s="30" t="s">
        <v>220</v>
      </c>
      <c r="E1" t="s">
        <v>221</v>
      </c>
    </row>
    <row r="2" spans="1:5" ht="24" x14ac:dyDescent="0.25">
      <c r="A2" s="31" t="s">
        <v>179</v>
      </c>
      <c r="B2" s="32"/>
      <c r="C2" s="32"/>
      <c r="D2" s="33">
        <v>180754.34</v>
      </c>
    </row>
    <row r="3" spans="1:5" x14ac:dyDescent="0.25">
      <c r="A3" s="25" t="s">
        <v>180</v>
      </c>
      <c r="B3" s="23"/>
      <c r="C3" s="23"/>
      <c r="D3" s="23"/>
    </row>
    <row r="4" spans="1:5" x14ac:dyDescent="0.25">
      <c r="A4" s="25" t="s">
        <v>229</v>
      </c>
      <c r="B4" s="23"/>
      <c r="C4" s="23"/>
      <c r="D4" s="26">
        <v>348.18</v>
      </c>
      <c r="E4" t="s">
        <v>67</v>
      </c>
    </row>
    <row r="5" spans="1:5" x14ac:dyDescent="0.25">
      <c r="A5" s="25" t="s">
        <v>181</v>
      </c>
      <c r="B5" s="23"/>
      <c r="C5" s="23"/>
      <c r="D5" s="26">
        <v>69.540000000000006</v>
      </c>
      <c r="E5" s="36" t="s">
        <v>67</v>
      </c>
    </row>
    <row r="6" spans="1:5" ht="24" x14ac:dyDescent="0.25">
      <c r="A6" s="25" t="s">
        <v>182</v>
      </c>
      <c r="B6" s="23"/>
      <c r="C6" s="23"/>
      <c r="D6" s="24">
        <v>9446.2999999999993</v>
      </c>
      <c r="E6" s="36" t="s">
        <v>67</v>
      </c>
    </row>
    <row r="7" spans="1:5" ht="24" x14ac:dyDescent="0.25">
      <c r="A7" s="25" t="s">
        <v>230</v>
      </c>
      <c r="B7" s="23"/>
      <c r="C7" s="23"/>
      <c r="D7" s="26">
        <v>162.49</v>
      </c>
      <c r="E7" s="36" t="s">
        <v>67</v>
      </c>
    </row>
    <row r="8" spans="1:5" x14ac:dyDescent="0.25">
      <c r="A8" s="25" t="s">
        <v>183</v>
      </c>
      <c r="B8" s="23"/>
      <c r="C8" s="23"/>
      <c r="D8" s="24">
        <v>25438.6</v>
      </c>
      <c r="E8" s="36" t="s">
        <v>68</v>
      </c>
    </row>
    <row r="9" spans="1:5" x14ac:dyDescent="0.25">
      <c r="A9" s="25" t="s">
        <v>231</v>
      </c>
      <c r="B9" s="23"/>
      <c r="C9" s="23"/>
      <c r="D9" s="24">
        <v>67445.86</v>
      </c>
      <c r="E9" s="36" t="s">
        <v>68</v>
      </c>
    </row>
    <row r="10" spans="1:5" ht="24" x14ac:dyDescent="0.25">
      <c r="A10" s="25" t="s">
        <v>184</v>
      </c>
      <c r="B10" s="23"/>
      <c r="C10" s="23"/>
      <c r="D10" s="24">
        <v>47739.91</v>
      </c>
      <c r="E10" s="36" t="s">
        <v>68</v>
      </c>
    </row>
    <row r="11" spans="1:5" x14ac:dyDescent="0.25">
      <c r="A11" s="25" t="s">
        <v>185</v>
      </c>
      <c r="B11" s="23"/>
      <c r="C11" s="23"/>
      <c r="D11" s="24">
        <v>4519.54</v>
      </c>
      <c r="E11" t="s">
        <v>216</v>
      </c>
    </row>
    <row r="12" spans="1:5" x14ac:dyDescent="0.25">
      <c r="A12" s="25" t="s">
        <v>232</v>
      </c>
      <c r="B12" s="23"/>
      <c r="C12" s="23"/>
      <c r="D12" s="24">
        <v>15979.28</v>
      </c>
      <c r="E12" t="s">
        <v>216</v>
      </c>
    </row>
    <row r="13" spans="1:5" x14ac:dyDescent="0.25">
      <c r="A13" s="25" t="s">
        <v>186</v>
      </c>
      <c r="B13" s="23"/>
      <c r="C13" s="23"/>
      <c r="D13" s="24">
        <v>9604.64</v>
      </c>
      <c r="E13" t="s">
        <v>216</v>
      </c>
    </row>
    <row r="14" spans="1:5" ht="24" x14ac:dyDescent="0.25">
      <c r="A14" s="31" t="s">
        <v>188</v>
      </c>
      <c r="B14" s="32"/>
      <c r="C14" s="32"/>
      <c r="D14" s="33">
        <v>119509.01</v>
      </c>
    </row>
    <row r="15" spans="1:5" x14ac:dyDescent="0.25">
      <c r="A15" s="25" t="s">
        <v>180</v>
      </c>
      <c r="B15" s="23"/>
      <c r="C15" s="23"/>
      <c r="D15" s="23"/>
    </row>
    <row r="16" spans="1:5" x14ac:dyDescent="0.25">
      <c r="A16" s="25" t="s">
        <v>183</v>
      </c>
      <c r="B16" s="23"/>
      <c r="C16" s="23"/>
      <c r="D16" s="24">
        <v>25438.59</v>
      </c>
      <c r="E16" t="s">
        <v>62</v>
      </c>
    </row>
    <row r="17" spans="1:5" x14ac:dyDescent="0.25">
      <c r="A17" s="25" t="s">
        <v>189</v>
      </c>
      <c r="B17" s="23"/>
      <c r="C17" s="23"/>
      <c r="D17" s="24">
        <v>67384.36</v>
      </c>
      <c r="E17" t="s">
        <v>62</v>
      </c>
    </row>
    <row r="18" spans="1:5" x14ac:dyDescent="0.25">
      <c r="A18" s="25" t="s">
        <v>190</v>
      </c>
      <c r="B18" s="23"/>
      <c r="C18" s="23"/>
      <c r="D18" s="24">
        <v>5012.7</v>
      </c>
      <c r="E18" t="s">
        <v>54</v>
      </c>
    </row>
    <row r="19" spans="1:5" x14ac:dyDescent="0.25">
      <c r="A19" s="25" t="s">
        <v>185</v>
      </c>
      <c r="B19" s="23"/>
      <c r="C19" s="23"/>
      <c r="D19" s="24">
        <v>4519.54</v>
      </c>
      <c r="E19" t="s">
        <v>217</v>
      </c>
    </row>
    <row r="20" spans="1:5" x14ac:dyDescent="0.25">
      <c r="A20" s="25" t="s">
        <v>191</v>
      </c>
      <c r="B20" s="23"/>
      <c r="C20" s="23"/>
      <c r="D20" s="24">
        <v>13553.82</v>
      </c>
      <c r="E20" t="s">
        <v>217</v>
      </c>
    </row>
    <row r="21" spans="1:5" x14ac:dyDescent="0.25">
      <c r="A21" s="25" t="s">
        <v>233</v>
      </c>
      <c r="B21" s="23"/>
      <c r="C21" s="23"/>
      <c r="D21" s="24">
        <v>3600</v>
      </c>
      <c r="E21" t="s">
        <v>236</v>
      </c>
    </row>
    <row r="22" spans="1:5" x14ac:dyDescent="0.25">
      <c r="A22" s="31" t="s">
        <v>192</v>
      </c>
      <c r="B22" s="32"/>
      <c r="C22" s="32"/>
      <c r="D22" s="33">
        <v>148305.31</v>
      </c>
    </row>
    <row r="23" spans="1:5" x14ac:dyDescent="0.25">
      <c r="A23" s="25" t="s">
        <v>180</v>
      </c>
      <c r="B23" s="23"/>
      <c r="C23" s="23"/>
      <c r="D23" s="23"/>
    </row>
    <row r="24" spans="1:5" x14ac:dyDescent="0.25">
      <c r="A24" s="25" t="s">
        <v>193</v>
      </c>
      <c r="B24" s="23"/>
      <c r="C24" s="23"/>
      <c r="D24" s="24">
        <v>1398.63</v>
      </c>
      <c r="E24" t="s">
        <v>72</v>
      </c>
    </row>
    <row r="25" spans="1:5" x14ac:dyDescent="0.25">
      <c r="A25" s="25" t="s">
        <v>194</v>
      </c>
      <c r="B25" s="23"/>
      <c r="C25" s="23"/>
      <c r="D25" s="24">
        <v>1368.45</v>
      </c>
      <c r="E25" t="s">
        <v>75</v>
      </c>
    </row>
    <row r="26" spans="1:5" x14ac:dyDescent="0.25">
      <c r="A26" s="25" t="s">
        <v>195</v>
      </c>
      <c r="B26" s="23"/>
      <c r="C26" s="23"/>
      <c r="D26" s="24">
        <v>1593.59</v>
      </c>
      <c r="E26" t="s">
        <v>76</v>
      </c>
    </row>
    <row r="27" spans="1:5" x14ac:dyDescent="0.25">
      <c r="A27" s="25" t="s">
        <v>196</v>
      </c>
      <c r="B27" s="23"/>
      <c r="C27" s="23"/>
      <c r="D27" s="26">
        <v>401.79</v>
      </c>
      <c r="E27" t="s">
        <v>76</v>
      </c>
    </row>
    <row r="28" spans="1:5" x14ac:dyDescent="0.25">
      <c r="A28" s="25" t="s">
        <v>197</v>
      </c>
      <c r="B28" s="23"/>
      <c r="C28" s="23"/>
      <c r="D28" s="26">
        <v>189.09</v>
      </c>
      <c r="E28" t="s">
        <v>74</v>
      </c>
    </row>
    <row r="29" spans="1:5" x14ac:dyDescent="0.25">
      <c r="A29" s="25" t="s">
        <v>198</v>
      </c>
      <c r="B29" s="23"/>
      <c r="C29" s="23"/>
      <c r="D29" s="26">
        <v>186.87</v>
      </c>
      <c r="E29" t="s">
        <v>74</v>
      </c>
    </row>
    <row r="30" spans="1:5" x14ac:dyDescent="0.25">
      <c r="A30" s="25" t="s">
        <v>199</v>
      </c>
      <c r="B30" s="23"/>
      <c r="C30" s="23"/>
      <c r="D30" s="26">
        <v>234.06</v>
      </c>
      <c r="E30" t="s">
        <v>74</v>
      </c>
    </row>
    <row r="31" spans="1:5" x14ac:dyDescent="0.25">
      <c r="A31" s="25" t="s">
        <v>200</v>
      </c>
      <c r="B31" s="23"/>
      <c r="C31" s="23"/>
      <c r="D31" s="24">
        <v>35696</v>
      </c>
      <c r="E31" t="s">
        <v>77</v>
      </c>
    </row>
    <row r="32" spans="1:5" x14ac:dyDescent="0.25">
      <c r="A32" s="25" t="s">
        <v>201</v>
      </c>
      <c r="B32" s="23"/>
      <c r="C32" s="23"/>
      <c r="D32" s="24">
        <v>75989.05</v>
      </c>
      <c r="E32" t="s">
        <v>77</v>
      </c>
    </row>
    <row r="33" spans="1:5" x14ac:dyDescent="0.25">
      <c r="A33" s="25" t="s">
        <v>202</v>
      </c>
      <c r="B33" s="23"/>
      <c r="C33" s="23"/>
      <c r="D33" s="26">
        <v>475.72</v>
      </c>
      <c r="E33" t="s">
        <v>76</v>
      </c>
    </row>
    <row r="34" spans="1:5" x14ac:dyDescent="0.25">
      <c r="A34" s="25" t="s">
        <v>203</v>
      </c>
      <c r="B34" s="23"/>
      <c r="C34" s="23"/>
      <c r="D34" s="26">
        <v>182.71</v>
      </c>
      <c r="E34" t="s">
        <v>74</v>
      </c>
    </row>
    <row r="35" spans="1:5" x14ac:dyDescent="0.25">
      <c r="A35" s="25" t="s">
        <v>204</v>
      </c>
      <c r="B35" s="23"/>
      <c r="C35" s="23"/>
      <c r="D35" s="26">
        <v>181.35</v>
      </c>
      <c r="E35" t="s">
        <v>76</v>
      </c>
    </row>
    <row r="36" spans="1:5" x14ac:dyDescent="0.25">
      <c r="A36" s="25" t="s">
        <v>205</v>
      </c>
      <c r="B36" s="23"/>
      <c r="C36" s="23"/>
      <c r="D36" s="26">
        <v>208.31</v>
      </c>
      <c r="E36" t="s">
        <v>76</v>
      </c>
    </row>
    <row r="37" spans="1:5" x14ac:dyDescent="0.25">
      <c r="A37" s="25" t="s">
        <v>206</v>
      </c>
      <c r="B37" s="23"/>
      <c r="C37" s="23"/>
      <c r="D37" s="24">
        <v>7366.98</v>
      </c>
      <c r="E37" t="s">
        <v>218</v>
      </c>
    </row>
    <row r="38" spans="1:5" x14ac:dyDescent="0.25">
      <c r="A38" s="25" t="s">
        <v>207</v>
      </c>
      <c r="B38" s="23"/>
      <c r="C38" s="23"/>
      <c r="D38" s="24">
        <v>13883.32</v>
      </c>
      <c r="E38" t="s">
        <v>218</v>
      </c>
    </row>
    <row r="39" spans="1:5" x14ac:dyDescent="0.25">
      <c r="A39" s="25" t="s">
        <v>208</v>
      </c>
      <c r="B39" s="23"/>
      <c r="C39" s="23"/>
      <c r="D39" s="24">
        <v>1248.57</v>
      </c>
      <c r="E39" t="s">
        <v>76</v>
      </c>
    </row>
    <row r="40" spans="1:5" x14ac:dyDescent="0.25">
      <c r="A40" s="25" t="s">
        <v>209</v>
      </c>
      <c r="B40" s="23"/>
      <c r="C40" s="23"/>
      <c r="D40" s="24">
        <v>1620.23</v>
      </c>
      <c r="E40" t="s">
        <v>74</v>
      </c>
    </row>
    <row r="41" spans="1:5" x14ac:dyDescent="0.25">
      <c r="A41" s="25" t="s">
        <v>210</v>
      </c>
      <c r="B41" s="23"/>
      <c r="C41" s="23"/>
      <c r="D41" s="26">
        <v>371.89</v>
      </c>
      <c r="E41" t="s">
        <v>74</v>
      </c>
    </row>
    <row r="42" spans="1:5" x14ac:dyDescent="0.25">
      <c r="A42" s="25" t="s">
        <v>211</v>
      </c>
      <c r="B42" s="23"/>
      <c r="C42" s="23"/>
      <c r="D42" s="24">
        <v>5708.7</v>
      </c>
      <c r="E42" t="s">
        <v>76</v>
      </c>
    </row>
    <row r="43" spans="1:5" ht="24" x14ac:dyDescent="0.25">
      <c r="A43" s="31" t="s">
        <v>212</v>
      </c>
      <c r="B43" s="32"/>
      <c r="C43" s="32"/>
      <c r="D43" s="33">
        <v>3715.29</v>
      </c>
    </row>
    <row r="44" spans="1:5" x14ac:dyDescent="0.25">
      <c r="A44" s="25" t="s">
        <v>180</v>
      </c>
      <c r="B44" s="23"/>
      <c r="C44" s="23"/>
      <c r="D44" s="23"/>
    </row>
    <row r="45" spans="1:5" x14ac:dyDescent="0.25">
      <c r="A45" s="25" t="s">
        <v>213</v>
      </c>
      <c r="B45" s="23"/>
      <c r="C45" s="23"/>
      <c r="D45" s="24">
        <v>2715.29</v>
      </c>
      <c r="E45" t="s">
        <v>81</v>
      </c>
    </row>
    <row r="46" spans="1:5" ht="24" x14ac:dyDescent="0.25">
      <c r="A46" s="25" t="s">
        <v>187</v>
      </c>
      <c r="B46" s="23"/>
      <c r="C46" s="23"/>
      <c r="D46" s="24">
        <v>1000</v>
      </c>
      <c r="E46" t="s">
        <v>67</v>
      </c>
    </row>
    <row r="47" spans="1:5" x14ac:dyDescent="0.25">
      <c r="A47" s="31" t="s">
        <v>214</v>
      </c>
      <c r="B47" s="32"/>
      <c r="C47" s="32"/>
      <c r="D47" s="33">
        <v>69268.539999999994</v>
      </c>
    </row>
    <row r="48" spans="1:5" x14ac:dyDescent="0.25">
      <c r="A48" s="25" t="s">
        <v>180</v>
      </c>
      <c r="B48" s="23"/>
      <c r="C48" s="23"/>
      <c r="D48" s="23"/>
    </row>
    <row r="49" spans="1:12" x14ac:dyDescent="0.25">
      <c r="A49" s="25" t="s">
        <v>215</v>
      </c>
      <c r="B49" s="23"/>
      <c r="C49" s="23"/>
      <c r="D49" s="24">
        <v>2340</v>
      </c>
    </row>
    <row r="50" spans="1:12" x14ac:dyDescent="0.25">
      <c r="A50" s="25" t="s">
        <v>234</v>
      </c>
      <c r="B50" s="23"/>
      <c r="C50" s="23"/>
      <c r="D50" s="37">
        <v>66928.539999999994</v>
      </c>
      <c r="K50" s="38" t="s">
        <v>239</v>
      </c>
      <c r="L50" s="38">
        <v>2724.1</v>
      </c>
    </row>
    <row r="51" spans="1:12" x14ac:dyDescent="0.25">
      <c r="C51"/>
    </row>
    <row r="52" spans="1:12" x14ac:dyDescent="0.25">
      <c r="C52"/>
    </row>
    <row r="53" spans="1:12" x14ac:dyDescent="0.25">
      <c r="C53"/>
      <c r="D53" s="38">
        <f>форма!M9</f>
        <v>9991.1</v>
      </c>
    </row>
    <row r="54" spans="1:12" x14ac:dyDescent="0.25">
      <c r="A54" s="34" t="s">
        <v>222</v>
      </c>
      <c r="B54" t="s">
        <v>225</v>
      </c>
      <c r="C54"/>
    </row>
    <row r="55" spans="1:12" x14ac:dyDescent="0.25">
      <c r="A55" s="35" t="s">
        <v>72</v>
      </c>
      <c r="B55" s="39">
        <v>1398.63</v>
      </c>
      <c r="C55">
        <v>23</v>
      </c>
      <c r="F55">
        <v>21</v>
      </c>
      <c r="G55">
        <f>SUMIF($C$55:$C$69,F55,$B$55:$B$69)+H55</f>
        <v>154509.01</v>
      </c>
      <c r="H55">
        <v>35000</v>
      </c>
    </row>
    <row r="56" spans="1:12" ht="30" x14ac:dyDescent="0.25">
      <c r="A56" s="35" t="s">
        <v>67</v>
      </c>
      <c r="B56" s="39">
        <v>11026.509999999998</v>
      </c>
      <c r="C56">
        <v>22</v>
      </c>
      <c r="F56">
        <v>22</v>
      </c>
      <c r="G56">
        <f t="shared" ref="G56:G64" si="0">SUMIF($C$55:$C$69,F56,$B$55:$B$69)+H56</f>
        <v>206754.34</v>
      </c>
      <c r="H56">
        <v>25000</v>
      </c>
    </row>
    <row r="57" spans="1:12" ht="30" x14ac:dyDescent="0.25">
      <c r="A57" s="35" t="s">
        <v>76</v>
      </c>
      <c r="B57" s="39">
        <v>9818.0299999999988</v>
      </c>
      <c r="C57">
        <v>23</v>
      </c>
      <c r="F57">
        <v>23</v>
      </c>
      <c r="G57">
        <f>SUMIF($C$55:$C$69,F57,$B$55:$B$69)+H57+I57</f>
        <v>174334.78</v>
      </c>
      <c r="H57">
        <v>1340.47</v>
      </c>
      <c r="I57">
        <v>24689</v>
      </c>
    </row>
    <row r="58" spans="1:12" ht="30" x14ac:dyDescent="0.25">
      <c r="A58" s="35" t="s">
        <v>74</v>
      </c>
      <c r="B58" s="39">
        <v>2784.85</v>
      </c>
      <c r="C58">
        <v>23</v>
      </c>
      <c r="F58">
        <v>24</v>
      </c>
      <c r="G58">
        <f t="shared" si="0"/>
        <v>0</v>
      </c>
    </row>
    <row r="59" spans="1:12" x14ac:dyDescent="0.25">
      <c r="A59" s="35" t="s">
        <v>216</v>
      </c>
      <c r="B59" s="39">
        <v>30103.46</v>
      </c>
      <c r="C59">
        <v>22</v>
      </c>
      <c r="F59">
        <v>25</v>
      </c>
      <c r="G59">
        <f t="shared" si="0"/>
        <v>3831.26</v>
      </c>
      <c r="H59">
        <v>1115.97</v>
      </c>
    </row>
    <row r="60" spans="1:12" x14ac:dyDescent="0.25">
      <c r="A60" s="35" t="s">
        <v>217</v>
      </c>
      <c r="B60" s="39">
        <v>18073.36</v>
      </c>
      <c r="C60">
        <v>21</v>
      </c>
      <c r="F60">
        <v>26</v>
      </c>
      <c r="G60">
        <f t="shared" si="0"/>
        <v>0</v>
      </c>
    </row>
    <row r="61" spans="1:12" x14ac:dyDescent="0.25">
      <c r="A61" s="35" t="s">
        <v>218</v>
      </c>
      <c r="B61" s="39">
        <v>21250.3</v>
      </c>
      <c r="C61">
        <v>23</v>
      </c>
      <c r="F61">
        <v>27</v>
      </c>
      <c r="G61">
        <f t="shared" si="0"/>
        <v>0</v>
      </c>
    </row>
    <row r="62" spans="1:12" x14ac:dyDescent="0.25">
      <c r="A62" s="35" t="s">
        <v>54</v>
      </c>
      <c r="B62" s="39">
        <v>5012.7</v>
      </c>
      <c r="C62">
        <v>21</v>
      </c>
      <c r="F62">
        <v>28</v>
      </c>
      <c r="G62">
        <f t="shared" si="0"/>
        <v>0</v>
      </c>
    </row>
    <row r="63" spans="1:12" ht="30" x14ac:dyDescent="0.25">
      <c r="A63" s="35" t="s">
        <v>68</v>
      </c>
      <c r="B63" s="39">
        <v>140624.37</v>
      </c>
      <c r="C63">
        <v>22</v>
      </c>
      <c r="F63">
        <v>29</v>
      </c>
      <c r="G63">
        <f t="shared" si="0"/>
        <v>0</v>
      </c>
    </row>
    <row r="64" spans="1:12" ht="45" x14ac:dyDescent="0.25">
      <c r="A64" s="35" t="s">
        <v>62</v>
      </c>
      <c r="B64" s="39">
        <v>92822.95</v>
      </c>
      <c r="C64">
        <v>21</v>
      </c>
      <c r="F64">
        <v>30</v>
      </c>
      <c r="G64">
        <f t="shared" si="0"/>
        <v>0</v>
      </c>
    </row>
    <row r="65" spans="1:7" ht="30" x14ac:dyDescent="0.25">
      <c r="A65" s="35" t="s">
        <v>77</v>
      </c>
      <c r="B65" s="39">
        <v>111685.05</v>
      </c>
      <c r="C65">
        <v>23</v>
      </c>
      <c r="G65">
        <f>SUM(G55:G64)</f>
        <v>539429.39</v>
      </c>
    </row>
    <row r="66" spans="1:7" x14ac:dyDescent="0.25">
      <c r="A66" s="35" t="s">
        <v>75</v>
      </c>
      <c r="B66" s="39">
        <v>1368.45</v>
      </c>
      <c r="C66">
        <v>23</v>
      </c>
    </row>
    <row r="67" spans="1:7" x14ac:dyDescent="0.25">
      <c r="A67" s="35" t="s">
        <v>236</v>
      </c>
      <c r="B67" s="39">
        <v>3600</v>
      </c>
      <c r="C67">
        <v>21</v>
      </c>
    </row>
    <row r="68" spans="1:7" x14ac:dyDescent="0.25">
      <c r="A68" s="35" t="s">
        <v>81</v>
      </c>
      <c r="B68" s="39">
        <v>2715.29</v>
      </c>
      <c r="C68">
        <v>25</v>
      </c>
    </row>
    <row r="69" spans="1:7" x14ac:dyDescent="0.25">
      <c r="A69" s="35" t="s">
        <v>223</v>
      </c>
      <c r="B69" s="39">
        <v>452283.94999999995</v>
      </c>
      <c r="C69"/>
    </row>
    <row r="70" spans="1:7" x14ac:dyDescent="0.25">
      <c r="A70" s="27" t="s">
        <v>224</v>
      </c>
      <c r="B70">
        <v>904567.89999999991</v>
      </c>
      <c r="C70"/>
    </row>
    <row r="71" spans="1:7" x14ac:dyDescent="0.25">
      <c r="C71"/>
    </row>
  </sheetData>
  <phoneticPr fontId="8" type="noConversion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8D10-E907-4CA8-BF41-260DD272151F}">
  <dimension ref="A1:R265"/>
  <sheetViews>
    <sheetView tabSelected="1" view="pageBreakPreview" zoomScaleNormal="100" zoomScaleSheetLayoutView="100" workbookViewId="0">
      <selection activeCell="A3" sqref="A3:C3"/>
    </sheetView>
  </sheetViews>
  <sheetFormatPr defaultRowHeight="15" outlineLevelRow="1" x14ac:dyDescent="0.25"/>
  <cols>
    <col min="1" max="1" width="14.5703125" customWidth="1"/>
    <col min="2" max="2" width="47.140625" customWidth="1"/>
    <col min="3" max="3" width="38.28515625" customWidth="1"/>
    <col min="5" max="5" width="10.42578125" bestFit="1" customWidth="1"/>
    <col min="6" max="6" width="11.42578125" bestFit="1" customWidth="1"/>
    <col min="7" max="7" width="10" bestFit="1" customWidth="1"/>
    <col min="8" max="8" width="11.42578125" bestFit="1" customWidth="1"/>
    <col min="9" max="9" width="12.5703125" customWidth="1"/>
    <col min="10" max="10" width="10.7109375" bestFit="1" customWidth="1"/>
    <col min="11" max="11" width="11.42578125" bestFit="1" customWidth="1"/>
    <col min="13" max="13" width="11.42578125" bestFit="1" customWidth="1"/>
    <col min="15" max="15" width="11.42578125" bestFit="1" customWidth="1"/>
    <col min="16" max="16" width="13.7109375" customWidth="1"/>
    <col min="18" max="18" width="9.7109375" bestFit="1" customWidth="1"/>
  </cols>
  <sheetData>
    <row r="1" spans="1:18" ht="42" customHeight="1" thickBot="1" x14ac:dyDescent="0.3">
      <c r="A1" s="11" t="s">
        <v>0</v>
      </c>
      <c r="B1" s="100" t="s">
        <v>304</v>
      </c>
      <c r="C1" s="101"/>
    </row>
    <row r="2" spans="1:18" ht="48" thickBot="1" x14ac:dyDescent="0.3">
      <c r="A2" s="12" t="s">
        <v>1</v>
      </c>
      <c r="B2" s="102" t="s">
        <v>2</v>
      </c>
      <c r="C2" s="103"/>
    </row>
    <row r="3" spans="1:18" ht="52.5" customHeight="1" thickBot="1" x14ac:dyDescent="0.3">
      <c r="A3" s="107" t="s">
        <v>173</v>
      </c>
      <c r="B3" s="108"/>
      <c r="C3" s="108"/>
    </row>
    <row r="4" spans="1:18" ht="15.75" thickBot="1" x14ac:dyDescent="0.3">
      <c r="A4" s="1" t="s">
        <v>3</v>
      </c>
      <c r="B4" s="2" t="s">
        <v>4</v>
      </c>
      <c r="C4" s="2" t="s">
        <v>5</v>
      </c>
    </row>
    <row r="5" spans="1:18" ht="15.75" thickBot="1" x14ac:dyDescent="0.3">
      <c r="A5" s="6" t="s">
        <v>6</v>
      </c>
      <c r="B5" s="4" t="s">
        <v>7</v>
      </c>
      <c r="C5" s="42">
        <v>45376</v>
      </c>
    </row>
    <row r="6" spans="1:18" ht="15.75" thickBot="1" x14ac:dyDescent="0.3">
      <c r="A6" s="6" t="s">
        <v>8</v>
      </c>
      <c r="B6" s="4" t="s">
        <v>9</v>
      </c>
      <c r="C6" s="42">
        <v>44927</v>
      </c>
    </row>
    <row r="7" spans="1:18" ht="15.75" thickBot="1" x14ac:dyDescent="0.3">
      <c r="A7" s="6" t="s">
        <v>10</v>
      </c>
      <c r="B7" s="4" t="s">
        <v>11</v>
      </c>
      <c r="C7" s="42">
        <v>45291</v>
      </c>
    </row>
    <row r="8" spans="1:18" ht="39" customHeight="1" x14ac:dyDescent="0.25">
      <c r="A8" s="96" t="s">
        <v>12</v>
      </c>
      <c r="B8" s="97"/>
      <c r="C8" s="97"/>
      <c r="I8" s="14">
        <f>форма!I9</f>
        <v>186508.22999999998</v>
      </c>
    </row>
    <row r="9" spans="1:18" ht="30" x14ac:dyDescent="0.25">
      <c r="A9" s="52" t="s">
        <v>13</v>
      </c>
      <c r="B9" s="52" t="s">
        <v>14</v>
      </c>
      <c r="C9" s="91">
        <v>0</v>
      </c>
      <c r="H9" t="s">
        <v>175</v>
      </c>
      <c r="I9" s="14">
        <f>C12-K13</f>
        <v>204213.71799999941</v>
      </c>
      <c r="L9" s="55" t="s">
        <v>177</v>
      </c>
      <c r="M9" s="56">
        <v>9995.4</v>
      </c>
      <c r="N9" s="55"/>
      <c r="P9">
        <f>H13/M9/12</f>
        <v>20.121799361039411</v>
      </c>
    </row>
    <row r="10" spans="1:18" ht="30" x14ac:dyDescent="0.25">
      <c r="A10" s="52" t="s">
        <v>16</v>
      </c>
      <c r="B10" s="52" t="s">
        <v>17</v>
      </c>
      <c r="C10" s="91">
        <v>0</v>
      </c>
      <c r="I10" s="14">
        <f>SUM(I8:I9)</f>
        <v>390721.94799999939</v>
      </c>
    </row>
    <row r="11" spans="1:18" x14ac:dyDescent="0.25">
      <c r="A11" s="52" t="s">
        <v>18</v>
      </c>
      <c r="B11" s="52" t="s">
        <v>19</v>
      </c>
      <c r="C11" s="91">
        <v>529192.44999999995</v>
      </c>
      <c r="D11">
        <f>форма!C25</f>
        <v>529192.44999999995</v>
      </c>
      <c r="E11" t="b">
        <f>C11=D11</f>
        <v>1</v>
      </c>
    </row>
    <row r="12" spans="1:18" ht="30" x14ac:dyDescent="0.25">
      <c r="A12" s="52" t="s">
        <v>20</v>
      </c>
      <c r="B12" s="52" t="s">
        <v>21</v>
      </c>
      <c r="C12" s="91">
        <v>3437802.0699999994</v>
      </c>
      <c r="F12" s="13"/>
      <c r="K12" t="s">
        <v>174</v>
      </c>
    </row>
    <row r="13" spans="1:18" x14ac:dyDescent="0.25">
      <c r="A13" s="52" t="s">
        <v>22</v>
      </c>
      <c r="B13" s="52" t="s">
        <v>23</v>
      </c>
      <c r="C13" s="91">
        <f>C12-C15</f>
        <v>2617718.9179999996</v>
      </c>
      <c r="F13" s="14">
        <f>C29+C61</f>
        <v>1646238.93</v>
      </c>
      <c r="G13" s="14">
        <f>C110+C117+C124+C131+C138+C145+C151</f>
        <v>767266.2699999999</v>
      </c>
      <c r="H13" s="14">
        <f>SUM(F13:G13)</f>
        <v>2413505.1999999997</v>
      </c>
      <c r="I13" s="14"/>
      <c r="K13" s="14">
        <f>F13+F15+G13</f>
        <v>3233588.352</v>
      </c>
      <c r="M13" s="14">
        <f>Лист2!B14+Лист2!B28+Лист2!B42+Лист2!B66+Лист2!B78+Лист2!B81+Лист2!B82+Лист2!B83</f>
        <v>3233588.352</v>
      </c>
      <c r="O13" s="14"/>
      <c r="P13" s="14">
        <f>K13-M13</f>
        <v>0</v>
      </c>
      <c r="R13" s="14"/>
    </row>
    <row r="14" spans="1:18" x14ac:dyDescent="0.25">
      <c r="A14" s="52" t="s">
        <v>24</v>
      </c>
      <c r="B14" s="52" t="s">
        <v>25</v>
      </c>
      <c r="C14" s="91">
        <v>0</v>
      </c>
    </row>
    <row r="15" spans="1:18" x14ac:dyDescent="0.25">
      <c r="A15" s="52" t="s">
        <v>26</v>
      </c>
      <c r="B15" s="52" t="s">
        <v>27</v>
      </c>
      <c r="C15" s="91">
        <f>F15</f>
        <v>820083.152</v>
      </c>
      <c r="F15" s="14">
        <f>C81</f>
        <v>820083.152</v>
      </c>
    </row>
    <row r="16" spans="1:18" x14ac:dyDescent="0.25">
      <c r="A16" s="52" t="s">
        <v>28</v>
      </c>
      <c r="B16" s="52" t="s">
        <v>29</v>
      </c>
      <c r="C16" s="91">
        <f>C22+C20</f>
        <v>3607271.38</v>
      </c>
      <c r="M16" s="14">
        <f>Лист2!B14+Лист2!B28+Лист2!B42+Лист2!B68++Лист2!B69+Лист2!B70+Лист2!B71+Лист2!B72+Лист2!B78+Лист2!B81+Лист2!B82+Лист2!B83</f>
        <v>3233588.352</v>
      </c>
    </row>
    <row r="17" spans="1:6" ht="30.75" customHeight="1" x14ac:dyDescent="0.25">
      <c r="A17" s="52" t="s">
        <v>30</v>
      </c>
      <c r="B17" s="52" t="s">
        <v>31</v>
      </c>
      <c r="C17" s="91">
        <v>3607271.38</v>
      </c>
    </row>
    <row r="18" spans="1:6" hidden="1" outlineLevel="1" x14ac:dyDescent="0.25">
      <c r="A18" s="52" t="s">
        <v>32</v>
      </c>
      <c r="B18" s="52" t="s">
        <v>33</v>
      </c>
      <c r="C18" s="91">
        <v>0</v>
      </c>
    </row>
    <row r="19" spans="1:6" hidden="1" outlineLevel="1" x14ac:dyDescent="0.25">
      <c r="A19" s="52" t="s">
        <v>34</v>
      </c>
      <c r="B19" s="52" t="s">
        <v>35</v>
      </c>
      <c r="C19" s="91">
        <v>0</v>
      </c>
    </row>
    <row r="20" spans="1:6" ht="30" hidden="1" outlineLevel="1" x14ac:dyDescent="0.25">
      <c r="A20" s="52" t="s">
        <v>36</v>
      </c>
      <c r="B20" s="52" t="s">
        <v>37</v>
      </c>
      <c r="C20" s="91">
        <v>0</v>
      </c>
    </row>
    <row r="21" spans="1:6" collapsed="1" x14ac:dyDescent="0.25">
      <c r="A21" s="52" t="s">
        <v>32</v>
      </c>
      <c r="B21" s="52" t="s">
        <v>39</v>
      </c>
      <c r="C21" s="91">
        <v>0</v>
      </c>
    </row>
    <row r="22" spans="1:6" x14ac:dyDescent="0.25">
      <c r="A22" s="52" t="s">
        <v>34</v>
      </c>
      <c r="B22" s="52" t="s">
        <v>41</v>
      </c>
      <c r="C22" s="91">
        <f>C17+C18+C19+C20+C21</f>
        <v>3607271.38</v>
      </c>
    </row>
    <row r="23" spans="1:6" ht="30" x14ac:dyDescent="0.25">
      <c r="A23" s="52" t="s">
        <v>36</v>
      </c>
      <c r="B23" s="52" t="s">
        <v>43</v>
      </c>
      <c r="C23" s="91">
        <v>0</v>
      </c>
    </row>
    <row r="24" spans="1:6" ht="30" x14ac:dyDescent="0.25">
      <c r="A24" s="52" t="s">
        <v>38</v>
      </c>
      <c r="B24" s="52" t="s">
        <v>45</v>
      </c>
      <c r="C24" s="91">
        <v>0</v>
      </c>
    </row>
    <row r="25" spans="1:6" x14ac:dyDescent="0.25">
      <c r="A25" s="52" t="s">
        <v>40</v>
      </c>
      <c r="B25" s="52" t="s">
        <v>47</v>
      </c>
      <c r="C25" s="41">
        <f>C11+C12-C17</f>
        <v>359723.13999999966</v>
      </c>
      <c r="E25">
        <v>359723.13999999966</v>
      </c>
      <c r="F25" s="82">
        <f>C25-E25</f>
        <v>0</v>
      </c>
    </row>
    <row r="26" spans="1:6" ht="37.5" customHeight="1" thickBot="1" x14ac:dyDescent="0.3">
      <c r="A26" s="98" t="s">
        <v>48</v>
      </c>
      <c r="B26" s="99"/>
      <c r="C26" s="99"/>
    </row>
    <row r="27" spans="1:6" x14ac:dyDescent="0.25">
      <c r="A27" s="109" t="s">
        <v>42</v>
      </c>
      <c r="B27" s="109" t="s">
        <v>50</v>
      </c>
      <c r="C27" s="109" t="s">
        <v>51</v>
      </c>
    </row>
    <row r="28" spans="1:6" ht="58.5" customHeight="1" thickBot="1" x14ac:dyDescent="0.3">
      <c r="A28" s="110"/>
      <c r="B28" s="110"/>
      <c r="C28" s="110"/>
    </row>
    <row r="29" spans="1:6" ht="29.25" thickBot="1" x14ac:dyDescent="0.3">
      <c r="A29" s="53"/>
      <c r="B29" s="5" t="s">
        <v>52</v>
      </c>
      <c r="C29" s="43">
        <f>Лист2!B28+Лист2!B68+Лист2!B69-Лист2!B34+Лист2!B81-Лист2!B37</f>
        <v>728451.78999999992</v>
      </c>
    </row>
    <row r="30" spans="1:6" ht="39" customHeight="1" x14ac:dyDescent="0.25">
      <c r="A30" s="96" t="s">
        <v>237</v>
      </c>
      <c r="B30" s="97"/>
      <c r="C30" s="97"/>
    </row>
    <row r="31" spans="1:6" ht="30" x14ac:dyDescent="0.25">
      <c r="A31" s="54" t="s">
        <v>281</v>
      </c>
      <c r="B31" s="52" t="s">
        <v>53</v>
      </c>
      <c r="C31" s="52" t="s">
        <v>156</v>
      </c>
    </row>
    <row r="32" spans="1:6" ht="30" x14ac:dyDescent="0.25">
      <c r="A32" s="52"/>
      <c r="B32" s="52" t="s">
        <v>55</v>
      </c>
      <c r="C32" s="52" t="s">
        <v>157</v>
      </c>
    </row>
    <row r="33" spans="1:9" x14ac:dyDescent="0.25">
      <c r="A33" s="52"/>
      <c r="B33" s="52" t="s">
        <v>57</v>
      </c>
      <c r="C33" s="52" t="s">
        <v>61</v>
      </c>
    </row>
    <row r="34" spans="1:9" x14ac:dyDescent="0.25">
      <c r="A34" s="52"/>
      <c r="B34" s="52" t="s">
        <v>59</v>
      </c>
      <c r="C34" s="41">
        <f>Лист2!B69/'форма 2023'!M9/12</f>
        <v>2.477964863837365E-2</v>
      </c>
      <c r="F34" s="20">
        <f>(C38+C42+C46+C50+C54+C34+C58)</f>
        <v>6.0732252669561335</v>
      </c>
      <c r="G34">
        <f>F34*M9*12</f>
        <v>728451.79</v>
      </c>
      <c r="I34" s="82">
        <f>C29-G34</f>
        <v>0</v>
      </c>
    </row>
    <row r="35" spans="1:9" ht="30" x14ac:dyDescent="0.25">
      <c r="A35" s="54" t="s">
        <v>282</v>
      </c>
      <c r="B35" s="52" t="s">
        <v>53</v>
      </c>
      <c r="C35" s="52" t="s">
        <v>54</v>
      </c>
    </row>
    <row r="36" spans="1:9" ht="30" x14ac:dyDescent="0.25">
      <c r="A36" s="52"/>
      <c r="B36" s="52" t="s">
        <v>55</v>
      </c>
      <c r="C36" s="52" t="s">
        <v>56</v>
      </c>
    </row>
    <row r="37" spans="1:9" x14ac:dyDescent="0.25">
      <c r="A37" s="52"/>
      <c r="B37" s="52" t="s">
        <v>57</v>
      </c>
      <c r="C37" s="52" t="s">
        <v>58</v>
      </c>
    </row>
    <row r="38" spans="1:9" x14ac:dyDescent="0.25">
      <c r="A38" s="52"/>
      <c r="B38" s="52" t="s">
        <v>59</v>
      </c>
      <c r="C38" s="41">
        <f>Лист2!B33/'форма 2023'!M9/12</f>
        <v>4.1791724193128842E-2</v>
      </c>
    </row>
    <row r="39" spans="1:9" ht="30" x14ac:dyDescent="0.25">
      <c r="A39" s="54" t="s">
        <v>283</v>
      </c>
      <c r="B39" s="52" t="s">
        <v>53</v>
      </c>
      <c r="C39" s="52" t="s">
        <v>158</v>
      </c>
    </row>
    <row r="40" spans="1:9" ht="30" x14ac:dyDescent="0.25">
      <c r="A40" s="54"/>
      <c r="B40" s="52" t="s">
        <v>55</v>
      </c>
      <c r="C40" s="52" t="s">
        <v>63</v>
      </c>
    </row>
    <row r="41" spans="1:9" x14ac:dyDescent="0.25">
      <c r="A41" s="54"/>
      <c r="B41" s="52" t="s">
        <v>57</v>
      </c>
      <c r="C41" s="52" t="s">
        <v>58</v>
      </c>
    </row>
    <row r="42" spans="1:9" x14ac:dyDescent="0.25">
      <c r="A42" s="54"/>
      <c r="B42" s="52" t="s">
        <v>59</v>
      </c>
      <c r="C42" s="41">
        <f>Лист2!B68/'форма 2023'!M9/12</f>
        <v>0.11581510828314358</v>
      </c>
    </row>
    <row r="43" spans="1:9" ht="45" x14ac:dyDescent="0.25">
      <c r="A43" s="54" t="s">
        <v>284</v>
      </c>
      <c r="B43" s="52" t="s">
        <v>53</v>
      </c>
      <c r="C43" s="52" t="s">
        <v>141</v>
      </c>
    </row>
    <row r="44" spans="1:9" ht="30" x14ac:dyDescent="0.25">
      <c r="A44" s="52"/>
      <c r="B44" s="52" t="s">
        <v>55</v>
      </c>
      <c r="C44" s="52" t="s">
        <v>60</v>
      </c>
    </row>
    <row r="45" spans="1:9" x14ac:dyDescent="0.25">
      <c r="A45" s="52"/>
      <c r="B45" s="52" t="s">
        <v>57</v>
      </c>
      <c r="C45" s="52" t="s">
        <v>61</v>
      </c>
    </row>
    <row r="46" spans="1:9" x14ac:dyDescent="0.25">
      <c r="A46" s="52"/>
      <c r="B46" s="52" t="s">
        <v>59</v>
      </c>
      <c r="C46" s="41">
        <f>(Лист2!B30+Лист2!B81)/'форма 2023'!M9/12</f>
        <v>0.78909556729428887</v>
      </c>
    </row>
    <row r="47" spans="1:9" ht="45" x14ac:dyDescent="0.25">
      <c r="A47" s="54" t="s">
        <v>285</v>
      </c>
      <c r="B47" s="52" t="s">
        <v>53</v>
      </c>
      <c r="C47" s="52" t="s">
        <v>62</v>
      </c>
    </row>
    <row r="48" spans="1:9" ht="30" x14ac:dyDescent="0.25">
      <c r="A48" s="54"/>
      <c r="B48" s="52" t="s">
        <v>55</v>
      </c>
      <c r="C48" s="52" t="s">
        <v>63</v>
      </c>
    </row>
    <row r="49" spans="1:9" x14ac:dyDescent="0.25">
      <c r="A49" s="54"/>
      <c r="B49" s="52" t="s">
        <v>57</v>
      </c>
      <c r="C49" s="52" t="s">
        <v>58</v>
      </c>
    </row>
    <row r="50" spans="1:9" x14ac:dyDescent="0.25">
      <c r="A50" s="54"/>
      <c r="B50" s="52" t="s">
        <v>59</v>
      </c>
      <c r="C50" s="41">
        <f>(Лист2!B31+Лист2!B32)/'форма 2023'!M9/12</f>
        <v>4.2345784894384755</v>
      </c>
    </row>
    <row r="51" spans="1:9" ht="30" x14ac:dyDescent="0.25">
      <c r="A51" s="54" t="s">
        <v>286</v>
      </c>
      <c r="B51" s="52" t="s">
        <v>53</v>
      </c>
      <c r="C51" s="52" t="s">
        <v>64</v>
      </c>
    </row>
    <row r="52" spans="1:9" ht="30" x14ac:dyDescent="0.25">
      <c r="A52" s="54"/>
      <c r="B52" s="52" t="s">
        <v>55</v>
      </c>
      <c r="C52" s="52" t="s">
        <v>63</v>
      </c>
    </row>
    <row r="53" spans="1:9" x14ac:dyDescent="0.25">
      <c r="A53" s="54"/>
      <c r="B53" s="52" t="s">
        <v>57</v>
      </c>
      <c r="C53" s="52" t="s">
        <v>58</v>
      </c>
    </row>
    <row r="54" spans="1:9" x14ac:dyDescent="0.25">
      <c r="A54" s="52"/>
      <c r="B54" s="52" t="s">
        <v>59</v>
      </c>
      <c r="C54" s="41">
        <f>(Лист2!B35+Лист2!B36)/'форма 2023'!M9/12</f>
        <v>0.77265133628135618</v>
      </c>
    </row>
    <row r="55" spans="1:9" ht="30" x14ac:dyDescent="0.25">
      <c r="A55" s="81" t="s">
        <v>287</v>
      </c>
      <c r="B55" s="80" t="s">
        <v>53</v>
      </c>
      <c r="C55" s="80" t="s">
        <v>288</v>
      </c>
    </row>
    <row r="56" spans="1:9" ht="30" x14ac:dyDescent="0.25">
      <c r="A56" s="81"/>
      <c r="B56" s="80" t="s">
        <v>55</v>
      </c>
      <c r="C56" s="80" t="s">
        <v>63</v>
      </c>
    </row>
    <row r="57" spans="1:9" x14ac:dyDescent="0.25">
      <c r="A57" s="81"/>
      <c r="B57" s="80" t="s">
        <v>57</v>
      </c>
      <c r="C57" s="80" t="s">
        <v>58</v>
      </c>
    </row>
    <row r="58" spans="1:9" ht="43.5" customHeight="1" x14ac:dyDescent="0.25">
      <c r="A58" s="80"/>
      <c r="B58" s="80" t="s">
        <v>59</v>
      </c>
      <c r="C58" s="41">
        <f>(Лист2!B38+Лист2!B39+Лист2!B40+Лист2!B41)/'форма 2023'!M9/12</f>
        <v>9.451339282736726E-2</v>
      </c>
    </row>
    <row r="59" spans="1:9" ht="15.75" thickBot="1" x14ac:dyDescent="0.3">
      <c r="A59" s="113"/>
      <c r="B59" s="114"/>
      <c r="C59" s="115"/>
    </row>
    <row r="60" spans="1:9" ht="42.75" x14ac:dyDescent="0.25">
      <c r="A60" s="44" t="s">
        <v>44</v>
      </c>
      <c r="B60" s="45" t="s">
        <v>66</v>
      </c>
      <c r="C60" s="46" t="s">
        <v>146</v>
      </c>
    </row>
    <row r="61" spans="1:9" ht="29.25" thickBot="1" x14ac:dyDescent="0.3">
      <c r="A61" s="47"/>
      <c r="B61" s="48" t="s">
        <v>52</v>
      </c>
      <c r="C61" s="43">
        <f>Лист2!B14</f>
        <v>917787.14</v>
      </c>
      <c r="F61" s="20">
        <f>C66+C70+C74+C78</f>
        <v>7.6517459698127794</v>
      </c>
      <c r="G61">
        <f>F61*M9*12</f>
        <v>917787.1399999999</v>
      </c>
      <c r="I61" s="82">
        <f>C61-G61</f>
        <v>0</v>
      </c>
    </row>
    <row r="62" spans="1:9" x14ac:dyDescent="0.25">
      <c r="A62" s="96" t="s">
        <v>226</v>
      </c>
      <c r="B62" s="96"/>
      <c r="C62" s="96"/>
    </row>
    <row r="63" spans="1:9" ht="45" x14ac:dyDescent="0.25">
      <c r="A63" s="54" t="s">
        <v>289</v>
      </c>
      <c r="B63" s="52" t="s">
        <v>53</v>
      </c>
      <c r="C63" s="52" t="s">
        <v>67</v>
      </c>
    </row>
    <row r="64" spans="1:9" ht="30" x14ac:dyDescent="0.25">
      <c r="A64" s="54"/>
      <c r="B64" s="52" t="s">
        <v>55</v>
      </c>
      <c r="C64" s="52" t="s">
        <v>60</v>
      </c>
    </row>
    <row r="65" spans="1:10" x14ac:dyDescent="0.25">
      <c r="A65" s="54"/>
      <c r="B65" s="52" t="s">
        <v>57</v>
      </c>
      <c r="C65" s="52" t="s">
        <v>58</v>
      </c>
    </row>
    <row r="66" spans="1:10" x14ac:dyDescent="0.25">
      <c r="A66" s="54"/>
      <c r="B66" s="52" t="s">
        <v>59</v>
      </c>
      <c r="C66" s="41">
        <f>(Лист2!B17+Лист2!B18+Лист2!B26)/'форма 2023'!M9/12</f>
        <v>0.69543389959381319</v>
      </c>
    </row>
    <row r="67" spans="1:10" ht="45" x14ac:dyDescent="0.25">
      <c r="A67" s="54" t="s">
        <v>290</v>
      </c>
      <c r="B67" s="52" t="s">
        <v>53</v>
      </c>
      <c r="C67" s="52" t="s">
        <v>68</v>
      </c>
    </row>
    <row r="68" spans="1:10" ht="30" x14ac:dyDescent="0.25">
      <c r="A68" s="54"/>
      <c r="B68" s="52" t="s">
        <v>55</v>
      </c>
      <c r="C68" s="52" t="s">
        <v>63</v>
      </c>
    </row>
    <row r="69" spans="1:10" x14ac:dyDescent="0.25">
      <c r="A69" s="54"/>
      <c r="B69" s="52" t="s">
        <v>57</v>
      </c>
      <c r="C69" s="52" t="s">
        <v>58</v>
      </c>
    </row>
    <row r="70" spans="1:10" x14ac:dyDescent="0.25">
      <c r="A70" s="54"/>
      <c r="B70" s="52" t="s">
        <v>59</v>
      </c>
      <c r="C70" s="41">
        <f>(Лист2!B20+Лист2!B21+Лист2!B22)/M9/12</f>
        <v>6.4210266722692433</v>
      </c>
    </row>
    <row r="71" spans="1:10" ht="30" x14ac:dyDescent="0.25">
      <c r="A71" s="54" t="s">
        <v>291</v>
      </c>
      <c r="B71" s="52" t="s">
        <v>53</v>
      </c>
      <c r="C71" s="52" t="s">
        <v>64</v>
      </c>
    </row>
    <row r="72" spans="1:10" ht="30" x14ac:dyDescent="0.25">
      <c r="A72" s="54"/>
      <c r="B72" s="52" t="s">
        <v>55</v>
      </c>
      <c r="C72" s="52" t="s">
        <v>63</v>
      </c>
    </row>
    <row r="73" spans="1:10" x14ac:dyDescent="0.25">
      <c r="A73" s="54"/>
      <c r="B73" s="52" t="s">
        <v>57</v>
      </c>
      <c r="C73" s="52" t="s">
        <v>58</v>
      </c>
    </row>
    <row r="74" spans="1:10" ht="48" customHeight="1" x14ac:dyDescent="0.25">
      <c r="A74" s="54"/>
      <c r="B74" s="52" t="s">
        <v>59</v>
      </c>
      <c r="C74" s="41">
        <f>(Лист2!B23+Лист2!B24+Лист2!B25)/'форма 2023'!M9/12</f>
        <v>0.4247252069285205</v>
      </c>
    </row>
    <row r="75" spans="1:10" ht="30" x14ac:dyDescent="0.25">
      <c r="A75" s="81" t="s">
        <v>293</v>
      </c>
      <c r="B75" s="80" t="s">
        <v>53</v>
      </c>
      <c r="C75" s="80" t="s">
        <v>292</v>
      </c>
    </row>
    <row r="76" spans="1:10" ht="30" x14ac:dyDescent="0.25">
      <c r="A76" s="81"/>
      <c r="B76" s="80" t="s">
        <v>55</v>
      </c>
      <c r="C76" s="80" t="s">
        <v>63</v>
      </c>
    </row>
    <row r="77" spans="1:10" x14ac:dyDescent="0.25">
      <c r="A77" s="81"/>
      <c r="B77" s="80" t="s">
        <v>57</v>
      </c>
      <c r="C77" s="80" t="s">
        <v>58</v>
      </c>
    </row>
    <row r="78" spans="1:10" x14ac:dyDescent="0.25">
      <c r="A78" s="81"/>
      <c r="B78" s="80" t="s">
        <v>59</v>
      </c>
      <c r="C78" s="41">
        <f>(Лист2!B27+Лист2!B16+Лист2!B19)/'форма 2023'!M9/12</f>
        <v>0.11056019102120311</v>
      </c>
      <c r="G78" s="20">
        <f>C86+C90+C94+C99+C103+C107</f>
        <v>6.8353193927539992</v>
      </c>
      <c r="H78">
        <f>G78*M9*12</f>
        <v>819861.01749999984</v>
      </c>
      <c r="J78" s="14">
        <f>C81-H78</f>
        <v>222.13450000016019</v>
      </c>
    </row>
    <row r="79" spans="1:10" ht="15.75" thickBot="1" x14ac:dyDescent="0.3">
      <c r="A79" s="111"/>
      <c r="B79" s="111"/>
      <c r="C79" s="111"/>
    </row>
    <row r="80" spans="1:10" ht="28.5" x14ac:dyDescent="0.25">
      <c r="A80" s="49" t="s">
        <v>46</v>
      </c>
      <c r="B80" s="50" t="s">
        <v>70</v>
      </c>
      <c r="C80" s="46" t="s">
        <v>71</v>
      </c>
    </row>
    <row r="81" spans="1:5" ht="29.25" thickBot="1" x14ac:dyDescent="0.3">
      <c r="A81" s="47"/>
      <c r="B81" s="48" t="s">
        <v>52</v>
      </c>
      <c r="C81" s="43">
        <f>Лист2!B42</f>
        <v>820083.152</v>
      </c>
      <c r="E81" s="82"/>
    </row>
    <row r="82" spans="1:5" x14ac:dyDescent="0.25">
      <c r="A82" s="96" t="s">
        <v>238</v>
      </c>
      <c r="B82" s="97"/>
      <c r="C82" s="97"/>
    </row>
    <row r="83" spans="1:5" ht="30" x14ac:dyDescent="0.25">
      <c r="A83" s="54" t="s">
        <v>294</v>
      </c>
      <c r="B83" s="52" t="s">
        <v>53</v>
      </c>
      <c r="C83" s="52" t="s">
        <v>72</v>
      </c>
    </row>
    <row r="84" spans="1:5" ht="30" x14ac:dyDescent="0.25">
      <c r="A84" s="54"/>
      <c r="B84" s="52" t="s">
        <v>55</v>
      </c>
      <c r="C84" s="52" t="s">
        <v>73</v>
      </c>
    </row>
    <row r="85" spans="1:5" x14ac:dyDescent="0.25">
      <c r="A85" s="54"/>
      <c r="B85" s="52" t="s">
        <v>57</v>
      </c>
      <c r="C85" s="52" t="s">
        <v>58</v>
      </c>
    </row>
    <row r="86" spans="1:5" x14ac:dyDescent="0.25">
      <c r="A86" s="54"/>
      <c r="B86" s="52" t="s">
        <v>59</v>
      </c>
      <c r="C86" s="41">
        <f>Лист2!B44/'форма 2023'!M9/12</f>
        <v>6.3921437194442779E-2</v>
      </c>
    </row>
    <row r="87" spans="1:5" ht="30" x14ac:dyDescent="0.25">
      <c r="A87" s="54" t="s">
        <v>295</v>
      </c>
      <c r="B87" s="52" t="s">
        <v>53</v>
      </c>
      <c r="C87" s="52" t="s">
        <v>74</v>
      </c>
    </row>
    <row r="88" spans="1:5" ht="30" x14ac:dyDescent="0.25">
      <c r="A88" s="54"/>
      <c r="B88" s="52" t="s">
        <v>55</v>
      </c>
      <c r="C88" s="52" t="s">
        <v>73</v>
      </c>
    </row>
    <row r="89" spans="1:5" x14ac:dyDescent="0.25">
      <c r="A89" s="54"/>
      <c r="B89" s="52" t="s">
        <v>57</v>
      </c>
      <c r="C89" s="52" t="s">
        <v>58</v>
      </c>
    </row>
    <row r="90" spans="1:5" x14ac:dyDescent="0.25">
      <c r="A90" s="54"/>
      <c r="B90" s="52" t="s">
        <v>59</v>
      </c>
      <c r="C90" s="41">
        <f>(Лист2!B48+Лист2!B49+Лист2!B50+Лист2!B51+Лист2!B52+Лист2!B56+Лист2!B62+Лист2!B63+Лист2!B64)/M9/12</f>
        <v>0.26651334197063981</v>
      </c>
    </row>
    <row r="91" spans="1:5" ht="30" x14ac:dyDescent="0.25">
      <c r="A91" s="54" t="s">
        <v>296</v>
      </c>
      <c r="B91" s="52" t="s">
        <v>53</v>
      </c>
      <c r="C91" s="52" t="s">
        <v>75</v>
      </c>
    </row>
    <row r="92" spans="1:5" ht="30" x14ac:dyDescent="0.25">
      <c r="A92" s="54"/>
      <c r="B92" s="52" t="s">
        <v>55</v>
      </c>
      <c r="C92" s="52" t="s">
        <v>63</v>
      </c>
    </row>
    <row r="93" spans="1:5" x14ac:dyDescent="0.25">
      <c r="A93" s="54"/>
      <c r="B93" s="52" t="s">
        <v>57</v>
      </c>
      <c r="C93" s="52" t="s">
        <v>58</v>
      </c>
    </row>
    <row r="94" spans="1:5" x14ac:dyDescent="0.25">
      <c r="A94" s="54"/>
      <c r="B94" s="52" t="s">
        <v>59</v>
      </c>
      <c r="C94" s="41">
        <f>Лист2!B45/'форма 2023'!M9/12</f>
        <v>5.1331395775390011E-2</v>
      </c>
    </row>
    <row r="95" spans="1:5" x14ac:dyDescent="0.25">
      <c r="A95" s="112" t="s">
        <v>297</v>
      </c>
      <c r="B95" s="95" t="s">
        <v>53</v>
      </c>
      <c r="C95" s="95" t="s">
        <v>76</v>
      </c>
    </row>
    <row r="96" spans="1:5" x14ac:dyDescent="0.25">
      <c r="A96" s="112"/>
      <c r="B96" s="95"/>
      <c r="C96" s="95"/>
    </row>
    <row r="97" spans="1:3" ht="30" x14ac:dyDescent="0.25">
      <c r="A97" s="54"/>
      <c r="B97" s="52" t="s">
        <v>55</v>
      </c>
      <c r="C97" s="52" t="s">
        <v>60</v>
      </c>
    </row>
    <row r="98" spans="1:3" x14ac:dyDescent="0.25">
      <c r="A98" s="54"/>
      <c r="B98" s="52" t="s">
        <v>57</v>
      </c>
      <c r="C98" s="52" t="s">
        <v>58</v>
      </c>
    </row>
    <row r="99" spans="1:3" x14ac:dyDescent="0.25">
      <c r="A99" s="54"/>
      <c r="B99" s="52" t="s">
        <v>59</v>
      </c>
      <c r="C99" s="41">
        <f>(Лист2!B46+Лист2!B47+Лист2!B57+Лист2!B61)/'форма 2023'!M9/12</f>
        <v>0.45753143112498412</v>
      </c>
    </row>
    <row r="100" spans="1:3" ht="45" x14ac:dyDescent="0.25">
      <c r="A100" s="54" t="s">
        <v>298</v>
      </c>
      <c r="B100" s="52" t="s">
        <v>53</v>
      </c>
      <c r="C100" s="52" t="s">
        <v>77</v>
      </c>
    </row>
    <row r="101" spans="1:3" ht="30" x14ac:dyDescent="0.25">
      <c r="A101" s="54"/>
      <c r="B101" s="52" t="s">
        <v>55</v>
      </c>
      <c r="C101" s="52" t="s">
        <v>63</v>
      </c>
    </row>
    <row r="102" spans="1:3" x14ac:dyDescent="0.25">
      <c r="A102" s="54"/>
      <c r="B102" s="52" t="s">
        <v>57</v>
      </c>
      <c r="C102" s="52" t="s">
        <v>58</v>
      </c>
    </row>
    <row r="103" spans="1:3" x14ac:dyDescent="0.25">
      <c r="A103" s="54"/>
      <c r="B103" s="52" t="s">
        <v>59</v>
      </c>
      <c r="C103" s="41">
        <f>(Лист2!B53+Лист2!B54+Лист2!B55+Лист2!B58+Лист2!B65)/'форма 2023'!M9/12</f>
        <v>5.0719665546151225</v>
      </c>
    </row>
    <row r="104" spans="1:3" ht="30" x14ac:dyDescent="0.25">
      <c r="A104" s="54" t="s">
        <v>299</v>
      </c>
      <c r="B104" s="52" t="s">
        <v>53</v>
      </c>
      <c r="C104" s="52" t="s">
        <v>64</v>
      </c>
    </row>
    <row r="105" spans="1:3" ht="30" x14ac:dyDescent="0.25">
      <c r="A105" s="54"/>
      <c r="B105" s="52" t="s">
        <v>55</v>
      </c>
      <c r="C105" s="52" t="s">
        <v>63</v>
      </c>
    </row>
    <row r="106" spans="1:3" x14ac:dyDescent="0.25">
      <c r="A106" s="54"/>
      <c r="B106" s="52" t="s">
        <v>57</v>
      </c>
      <c r="C106" s="52" t="s">
        <v>58</v>
      </c>
    </row>
    <row r="107" spans="1:3" x14ac:dyDescent="0.25">
      <c r="A107" s="54"/>
      <c r="B107" s="52" t="s">
        <v>59</v>
      </c>
      <c r="C107" s="41">
        <f>(Лист2!B59+Лист2!B60)/'форма 2023'!M9/12</f>
        <v>0.92405523207342044</v>
      </c>
    </row>
    <row r="108" spans="1:3" x14ac:dyDescent="0.25">
      <c r="A108" s="95"/>
      <c r="B108" s="95"/>
      <c r="C108" s="95"/>
    </row>
    <row r="109" spans="1:3" ht="28.5" x14ac:dyDescent="0.25">
      <c r="A109" s="8" t="s">
        <v>49</v>
      </c>
      <c r="B109" s="8" t="s">
        <v>70</v>
      </c>
      <c r="C109" s="8" t="s">
        <v>79</v>
      </c>
    </row>
    <row r="110" spans="1:3" ht="28.5" x14ac:dyDescent="0.25">
      <c r="A110" s="8"/>
      <c r="B110" s="8" t="s">
        <v>52</v>
      </c>
      <c r="C110" s="91">
        <f>Лист2!B37</f>
        <v>10464.299999999999</v>
      </c>
    </row>
    <row r="111" spans="1:3" ht="30" x14ac:dyDescent="0.25">
      <c r="A111" s="52"/>
      <c r="B111" s="52" t="s">
        <v>53</v>
      </c>
      <c r="C111" s="52" t="s">
        <v>79</v>
      </c>
    </row>
    <row r="112" spans="1:3" ht="30" x14ac:dyDescent="0.25">
      <c r="A112" s="52"/>
      <c r="B112" s="52" t="s">
        <v>55</v>
      </c>
      <c r="C112" s="52" t="s">
        <v>63</v>
      </c>
    </row>
    <row r="113" spans="1:3" x14ac:dyDescent="0.25">
      <c r="A113" s="52"/>
      <c r="B113" s="52" t="s">
        <v>57</v>
      </c>
      <c r="C113" s="52" t="s">
        <v>58</v>
      </c>
    </row>
    <row r="114" spans="1:3" x14ac:dyDescent="0.25">
      <c r="A114" s="52"/>
      <c r="B114" s="52" t="s">
        <v>59</v>
      </c>
      <c r="C114" s="41">
        <f>C110/M9/12</f>
        <v>8.7242631610540855E-2</v>
      </c>
    </row>
    <row r="115" spans="1:3" x14ac:dyDescent="0.25">
      <c r="A115" s="95"/>
      <c r="B115" s="95"/>
      <c r="C115" s="95"/>
    </row>
    <row r="116" spans="1:3" x14ac:dyDescent="0.25">
      <c r="A116" s="8" t="s">
        <v>65</v>
      </c>
      <c r="B116" s="8" t="s">
        <v>70</v>
      </c>
      <c r="C116" s="8" t="s">
        <v>81</v>
      </c>
    </row>
    <row r="117" spans="1:3" ht="28.5" x14ac:dyDescent="0.25">
      <c r="A117" s="8"/>
      <c r="B117" s="8" t="s">
        <v>52</v>
      </c>
      <c r="C117" s="41">
        <f>Лист2!B70+Лист2!B82</f>
        <v>66462</v>
      </c>
    </row>
    <row r="118" spans="1:3" ht="30" x14ac:dyDescent="0.25">
      <c r="A118" s="52"/>
      <c r="B118" s="52" t="s">
        <v>53</v>
      </c>
      <c r="C118" s="52" t="s">
        <v>81</v>
      </c>
    </row>
    <row r="119" spans="1:3" ht="30" x14ac:dyDescent="0.25">
      <c r="A119" s="52"/>
      <c r="B119" s="52" t="s">
        <v>55</v>
      </c>
      <c r="C119" s="52" t="s">
        <v>63</v>
      </c>
    </row>
    <row r="120" spans="1:3" x14ac:dyDescent="0.25">
      <c r="A120" s="52"/>
      <c r="B120" s="52" t="s">
        <v>57</v>
      </c>
      <c r="C120" s="52" t="s">
        <v>58</v>
      </c>
    </row>
    <row r="121" spans="1:3" x14ac:dyDescent="0.25">
      <c r="A121" s="52"/>
      <c r="B121" s="52" t="s">
        <v>59</v>
      </c>
      <c r="C121" s="41">
        <f>C117/M9/12</f>
        <v>0.55410488824859438</v>
      </c>
    </row>
    <row r="122" spans="1:3" x14ac:dyDescent="0.25">
      <c r="A122" s="95"/>
      <c r="B122" s="95"/>
      <c r="C122" s="95"/>
    </row>
    <row r="123" spans="1:3" x14ac:dyDescent="0.25">
      <c r="A123" s="8" t="s">
        <v>69</v>
      </c>
      <c r="B123" s="8" t="s">
        <v>70</v>
      </c>
      <c r="C123" s="8" t="s">
        <v>301</v>
      </c>
    </row>
    <row r="124" spans="1:3" ht="28.5" x14ac:dyDescent="0.25">
      <c r="A124" s="8"/>
      <c r="B124" s="8" t="s">
        <v>52</v>
      </c>
      <c r="C124" s="41">
        <f>Лист2!B83</f>
        <v>83187</v>
      </c>
    </row>
    <row r="125" spans="1:3" ht="30" x14ac:dyDescent="0.25">
      <c r="A125" s="52"/>
      <c r="B125" s="52" t="s">
        <v>53</v>
      </c>
      <c r="C125" s="52" t="str">
        <f>C123</f>
        <v>Внеэксплуатационные расходы</v>
      </c>
    </row>
    <row r="126" spans="1:3" ht="30" x14ac:dyDescent="0.25">
      <c r="A126" s="52"/>
      <c r="B126" s="52" t="s">
        <v>55</v>
      </c>
      <c r="C126" s="52" t="s">
        <v>84</v>
      </c>
    </row>
    <row r="127" spans="1:3" x14ac:dyDescent="0.25">
      <c r="A127" s="52"/>
      <c r="B127" s="52" t="s">
        <v>57</v>
      </c>
      <c r="C127" s="52" t="s">
        <v>58</v>
      </c>
    </row>
    <row r="128" spans="1:3" x14ac:dyDescent="0.25">
      <c r="A128" s="52"/>
      <c r="B128" s="52" t="s">
        <v>59</v>
      </c>
      <c r="C128" s="41">
        <f>C124/M9/12</f>
        <v>0.69354403025391687</v>
      </c>
    </row>
    <row r="129" spans="1:3" x14ac:dyDescent="0.25">
      <c r="A129" s="95"/>
      <c r="B129" s="95"/>
      <c r="C129" s="95"/>
    </row>
    <row r="130" spans="1:3" ht="57" x14ac:dyDescent="0.25">
      <c r="A130" s="16" t="s">
        <v>78</v>
      </c>
      <c r="B130" s="16" t="s">
        <v>70</v>
      </c>
      <c r="C130" s="8" t="s">
        <v>161</v>
      </c>
    </row>
    <row r="131" spans="1:3" ht="28.5" x14ac:dyDescent="0.25">
      <c r="A131" s="8"/>
      <c r="B131" s="8" t="s">
        <v>52</v>
      </c>
      <c r="C131" s="41">
        <f>Лист2!B78</f>
        <v>426251.39</v>
      </c>
    </row>
    <row r="132" spans="1:3" ht="30" x14ac:dyDescent="0.25">
      <c r="A132" s="52"/>
      <c r="B132" s="52" t="s">
        <v>53</v>
      </c>
      <c r="C132" s="52" t="s">
        <v>162</v>
      </c>
    </row>
    <row r="133" spans="1:3" ht="30" x14ac:dyDescent="0.25">
      <c r="A133" s="52"/>
      <c r="B133" s="52" t="s">
        <v>55</v>
      </c>
      <c r="C133" s="52" t="s">
        <v>63</v>
      </c>
    </row>
    <row r="134" spans="1:3" x14ac:dyDescent="0.25">
      <c r="A134" s="52"/>
      <c r="B134" s="52" t="s">
        <v>57</v>
      </c>
      <c r="C134" s="52" t="s">
        <v>163</v>
      </c>
    </row>
    <row r="135" spans="1:3" x14ac:dyDescent="0.25">
      <c r="A135" s="52"/>
      <c r="B135" s="52" t="s">
        <v>59</v>
      </c>
      <c r="C135" s="41">
        <f>C131/M9/12</f>
        <v>3.5537296322975238</v>
      </c>
    </row>
    <row r="136" spans="1:3" ht="42" customHeight="1" x14ac:dyDescent="0.25">
      <c r="A136" s="95"/>
      <c r="B136" s="95"/>
      <c r="C136" s="95"/>
    </row>
    <row r="137" spans="1:3" ht="28.5" x14ac:dyDescent="0.25">
      <c r="A137" s="8" t="s">
        <v>80</v>
      </c>
      <c r="B137" s="8" t="s">
        <v>70</v>
      </c>
      <c r="C137" s="8" t="s">
        <v>164</v>
      </c>
    </row>
    <row r="138" spans="1:3" ht="28.5" x14ac:dyDescent="0.25">
      <c r="A138" s="8"/>
      <c r="B138" s="8" t="s">
        <v>52</v>
      </c>
      <c r="C138" s="41">
        <f>(Лист2!B71+Лист2!B34)</f>
        <v>18501.580000000002</v>
      </c>
    </row>
    <row r="139" spans="1:3" ht="30" x14ac:dyDescent="0.25">
      <c r="A139" s="52"/>
      <c r="B139" s="52" t="s">
        <v>53</v>
      </c>
      <c r="C139" s="52" t="s">
        <v>165</v>
      </c>
    </row>
    <row r="140" spans="1:3" ht="30" x14ac:dyDescent="0.25">
      <c r="A140" s="52"/>
      <c r="B140" s="52" t="s">
        <v>55</v>
      </c>
      <c r="C140" s="52" t="s">
        <v>166</v>
      </c>
    </row>
    <row r="141" spans="1:3" x14ac:dyDescent="0.25">
      <c r="A141" s="52"/>
      <c r="B141" s="52" t="s">
        <v>57</v>
      </c>
      <c r="C141" s="52" t="s">
        <v>61</v>
      </c>
    </row>
    <row r="142" spans="1:3" x14ac:dyDescent="0.25">
      <c r="A142" s="52"/>
      <c r="B142" s="52" t="s">
        <v>59</v>
      </c>
      <c r="C142" s="41">
        <f>C138/M9/12</f>
        <v>0.15425078869613357</v>
      </c>
    </row>
    <row r="143" spans="1:3" x14ac:dyDescent="0.25">
      <c r="A143" s="95"/>
      <c r="B143" s="95"/>
      <c r="C143" s="95"/>
    </row>
    <row r="144" spans="1:3" ht="42.75" x14ac:dyDescent="0.25">
      <c r="A144" s="8" t="s">
        <v>82</v>
      </c>
      <c r="B144" s="8" t="s">
        <v>70</v>
      </c>
      <c r="C144" s="8" t="s">
        <v>167</v>
      </c>
    </row>
    <row r="145" spans="1:3" ht="28.5" x14ac:dyDescent="0.25">
      <c r="A145" s="8"/>
      <c r="B145" s="8" t="s">
        <v>52</v>
      </c>
      <c r="C145" s="41">
        <f>Лист2!B72</f>
        <v>162400</v>
      </c>
    </row>
    <row r="146" spans="1:3" ht="30" x14ac:dyDescent="0.25">
      <c r="A146" s="52"/>
      <c r="B146" s="52" t="s">
        <v>53</v>
      </c>
      <c r="C146" s="52" t="s">
        <v>168</v>
      </c>
    </row>
    <row r="147" spans="1:3" ht="30" x14ac:dyDescent="0.25">
      <c r="A147" s="92"/>
      <c r="B147" s="92" t="s">
        <v>55</v>
      </c>
      <c r="C147" s="92" t="s">
        <v>63</v>
      </c>
    </row>
    <row r="148" spans="1:3" x14ac:dyDescent="0.25">
      <c r="A148" s="92"/>
      <c r="B148" s="92" t="s">
        <v>57</v>
      </c>
      <c r="C148" s="92" t="s">
        <v>58</v>
      </c>
    </row>
    <row r="149" spans="1:3" x14ac:dyDescent="0.25">
      <c r="A149" s="92"/>
      <c r="B149" s="92" t="s">
        <v>59</v>
      </c>
      <c r="C149" s="91">
        <f>C145/M9/12</f>
        <v>1.3539561531637887</v>
      </c>
    </row>
    <row r="150" spans="1:3" ht="28.5" outlineLevel="1" x14ac:dyDescent="0.25">
      <c r="A150" s="93" t="s">
        <v>85</v>
      </c>
      <c r="B150" s="94" t="s">
        <v>70</v>
      </c>
      <c r="C150" s="94" t="s">
        <v>302</v>
      </c>
    </row>
    <row r="151" spans="1:3" ht="28.5" outlineLevel="1" x14ac:dyDescent="0.25">
      <c r="A151" s="94"/>
      <c r="B151" s="94" t="s">
        <v>52</v>
      </c>
      <c r="C151" s="91">
        <f>расходы!G16</f>
        <v>0</v>
      </c>
    </row>
    <row r="152" spans="1:3" ht="30" outlineLevel="1" x14ac:dyDescent="0.25">
      <c r="A152" s="92"/>
      <c r="B152" s="92" t="s">
        <v>53</v>
      </c>
      <c r="C152" s="92" t="str">
        <f>C150</f>
        <v>Услуги подрядных организаций по текущему ремонту</v>
      </c>
    </row>
    <row r="153" spans="1:3" ht="30" outlineLevel="1" x14ac:dyDescent="0.25">
      <c r="A153" s="92"/>
      <c r="B153" s="92" t="s">
        <v>55</v>
      </c>
      <c r="C153" s="92" t="s">
        <v>63</v>
      </c>
    </row>
    <row r="154" spans="1:3" outlineLevel="1" x14ac:dyDescent="0.25">
      <c r="A154" s="92"/>
      <c r="B154" s="92" t="s">
        <v>57</v>
      </c>
      <c r="C154" s="92" t="s">
        <v>58</v>
      </c>
    </row>
    <row r="155" spans="1:3" outlineLevel="1" x14ac:dyDescent="0.25">
      <c r="A155" s="92"/>
      <c r="B155" s="92" t="s">
        <v>59</v>
      </c>
      <c r="C155" s="91">
        <f>C151/7/M9</f>
        <v>0</v>
      </c>
    </row>
    <row r="156" spans="1:3" x14ac:dyDescent="0.25">
      <c r="A156" s="116"/>
      <c r="B156" s="117"/>
      <c r="C156" s="118"/>
    </row>
    <row r="157" spans="1:3" x14ac:dyDescent="0.25">
      <c r="A157" s="94" t="s">
        <v>89</v>
      </c>
      <c r="B157" s="92" t="s">
        <v>86</v>
      </c>
      <c r="C157" s="92"/>
    </row>
    <row r="158" spans="1:3" ht="30" x14ac:dyDescent="0.25">
      <c r="A158" s="94"/>
      <c r="B158" s="92" t="s">
        <v>53</v>
      </c>
      <c r="C158" s="92" t="s">
        <v>87</v>
      </c>
    </row>
    <row r="159" spans="1:3" ht="30" x14ac:dyDescent="0.25">
      <c r="A159" s="94"/>
      <c r="B159" s="92" t="s">
        <v>55</v>
      </c>
      <c r="C159" s="92" t="s">
        <v>63</v>
      </c>
    </row>
    <row r="160" spans="1:3" x14ac:dyDescent="0.25">
      <c r="A160" s="8"/>
      <c r="B160" s="52" t="s">
        <v>57</v>
      </c>
      <c r="C160" s="52" t="s">
        <v>58</v>
      </c>
    </row>
    <row r="161" spans="1:3" x14ac:dyDescent="0.25">
      <c r="A161" s="8"/>
      <c r="B161" s="52" t="s">
        <v>59</v>
      </c>
      <c r="C161" s="40" t="s">
        <v>280</v>
      </c>
    </row>
    <row r="162" spans="1:3" x14ac:dyDescent="0.25">
      <c r="A162" s="17" t="s">
        <v>88</v>
      </c>
      <c r="B162" s="10"/>
      <c r="C162" s="10"/>
    </row>
    <row r="163" spans="1:3" x14ac:dyDescent="0.25">
      <c r="A163" s="8" t="s">
        <v>92</v>
      </c>
      <c r="B163" s="8" t="s">
        <v>90</v>
      </c>
      <c r="C163" s="52" t="s">
        <v>91</v>
      </c>
    </row>
    <row r="164" spans="1:3" x14ac:dyDescent="0.25">
      <c r="A164" s="8" t="s">
        <v>300</v>
      </c>
      <c r="B164" s="8" t="s">
        <v>93</v>
      </c>
      <c r="C164" s="52" t="s">
        <v>91</v>
      </c>
    </row>
    <row r="165" spans="1:3" ht="28.5" x14ac:dyDescent="0.25">
      <c r="A165" s="8" t="s">
        <v>95</v>
      </c>
      <c r="B165" s="8" t="s">
        <v>94</v>
      </c>
      <c r="C165" s="52" t="s">
        <v>91</v>
      </c>
    </row>
    <row r="166" spans="1:3" ht="40.5" customHeight="1" x14ac:dyDescent="0.25">
      <c r="A166" s="8" t="s">
        <v>98</v>
      </c>
      <c r="B166" s="8" t="s">
        <v>96</v>
      </c>
      <c r="C166" s="52" t="s">
        <v>15</v>
      </c>
    </row>
    <row r="167" spans="1:3" x14ac:dyDescent="0.25">
      <c r="A167" s="17" t="s">
        <v>97</v>
      </c>
      <c r="B167" s="10"/>
      <c r="C167" s="10"/>
    </row>
    <row r="168" spans="1:3" ht="30" x14ac:dyDescent="0.25">
      <c r="A168" s="52" t="s">
        <v>99</v>
      </c>
      <c r="B168" s="52" t="s">
        <v>14</v>
      </c>
      <c r="C168" s="52" t="s">
        <v>15</v>
      </c>
    </row>
    <row r="169" spans="1:3" ht="30" x14ac:dyDescent="0.25">
      <c r="A169" s="52" t="s">
        <v>100</v>
      </c>
      <c r="B169" s="52" t="s">
        <v>17</v>
      </c>
      <c r="C169" s="52" t="s">
        <v>15</v>
      </c>
    </row>
    <row r="170" spans="1:3" x14ac:dyDescent="0.25">
      <c r="A170" s="52" t="s">
        <v>101</v>
      </c>
      <c r="B170" s="52" t="s">
        <v>19</v>
      </c>
      <c r="C170" s="52" t="s">
        <v>15</v>
      </c>
    </row>
    <row r="171" spans="1:3" ht="30" x14ac:dyDescent="0.25">
      <c r="A171" s="52" t="s">
        <v>102</v>
      </c>
      <c r="B171" s="52" t="s">
        <v>43</v>
      </c>
      <c r="C171" s="52" t="s">
        <v>15</v>
      </c>
    </row>
    <row r="172" spans="1:3" ht="30" x14ac:dyDescent="0.25">
      <c r="A172" s="52" t="s">
        <v>103</v>
      </c>
      <c r="B172" s="52" t="s">
        <v>45</v>
      </c>
      <c r="C172" s="52" t="s">
        <v>15</v>
      </c>
    </row>
    <row r="173" spans="1:3" x14ac:dyDescent="0.25">
      <c r="A173" s="52" t="s">
        <v>105</v>
      </c>
      <c r="B173" s="52" t="s">
        <v>47</v>
      </c>
      <c r="C173" s="52" t="s">
        <v>15</v>
      </c>
    </row>
    <row r="174" spans="1:3" x14ac:dyDescent="0.25">
      <c r="A174" s="17" t="s">
        <v>104</v>
      </c>
      <c r="B174" s="10"/>
      <c r="C174" s="10"/>
    </row>
    <row r="175" spans="1:3" x14ac:dyDescent="0.25">
      <c r="A175" s="8" t="s">
        <v>116</v>
      </c>
      <c r="B175" s="8" t="s">
        <v>106</v>
      </c>
      <c r="C175" s="8" t="s">
        <v>107</v>
      </c>
    </row>
    <row r="176" spans="1:3" x14ac:dyDescent="0.25">
      <c r="A176" s="52"/>
      <c r="B176" s="52" t="s">
        <v>57</v>
      </c>
      <c r="C176" s="52"/>
    </row>
    <row r="177" spans="1:3" x14ac:dyDescent="0.25">
      <c r="A177" s="52"/>
      <c r="B177" s="52" t="s">
        <v>108</v>
      </c>
      <c r="C177" s="52"/>
    </row>
    <row r="178" spans="1:3" x14ac:dyDescent="0.25">
      <c r="A178" s="52"/>
      <c r="B178" s="52" t="s">
        <v>109</v>
      </c>
      <c r="C178" s="52" t="s">
        <v>15</v>
      </c>
    </row>
    <row r="179" spans="1:3" x14ac:dyDescent="0.25">
      <c r="A179" s="52"/>
      <c r="B179" s="52" t="s">
        <v>110</v>
      </c>
      <c r="C179" s="52" t="s">
        <v>15</v>
      </c>
    </row>
    <row r="180" spans="1:3" x14ac:dyDescent="0.25">
      <c r="A180" s="52"/>
      <c r="B180" s="52" t="s">
        <v>111</v>
      </c>
      <c r="C180" s="52" t="s">
        <v>15</v>
      </c>
    </row>
    <row r="181" spans="1:3" ht="30" x14ac:dyDescent="0.25">
      <c r="A181" s="52"/>
      <c r="B181" s="52" t="s">
        <v>112</v>
      </c>
      <c r="C181" s="52" t="s">
        <v>15</v>
      </c>
    </row>
    <row r="182" spans="1:3" ht="30" x14ac:dyDescent="0.25">
      <c r="A182" s="52"/>
      <c r="B182" s="52" t="s">
        <v>113</v>
      </c>
      <c r="C182" s="52" t="s">
        <v>15</v>
      </c>
    </row>
    <row r="183" spans="1:3" ht="30" x14ac:dyDescent="0.25">
      <c r="A183" s="52"/>
      <c r="B183" s="52" t="s">
        <v>114</v>
      </c>
      <c r="C183" s="52" t="s">
        <v>15</v>
      </c>
    </row>
    <row r="184" spans="1:3" ht="30" x14ac:dyDescent="0.25">
      <c r="A184" s="52"/>
      <c r="B184" s="52" t="s">
        <v>115</v>
      </c>
      <c r="C184" s="52" t="s">
        <v>15</v>
      </c>
    </row>
    <row r="185" spans="1:3" x14ac:dyDescent="0.25">
      <c r="A185" s="17"/>
      <c r="B185" s="10"/>
      <c r="C185" s="10"/>
    </row>
    <row r="186" spans="1:3" x14ac:dyDescent="0.25">
      <c r="A186" s="8" t="s">
        <v>118</v>
      </c>
      <c r="B186" s="8" t="s">
        <v>106</v>
      </c>
      <c r="C186" s="8" t="s">
        <v>117</v>
      </c>
    </row>
    <row r="187" spans="1:3" x14ac:dyDescent="0.25">
      <c r="A187" s="52"/>
      <c r="B187" s="52" t="s">
        <v>57</v>
      </c>
      <c r="C187" s="52"/>
    </row>
    <row r="188" spans="1:3" x14ac:dyDescent="0.25">
      <c r="A188" s="52"/>
      <c r="B188" s="52" t="s">
        <v>108</v>
      </c>
      <c r="C188" s="52"/>
    </row>
    <row r="189" spans="1:3" x14ac:dyDescent="0.25">
      <c r="A189" s="52"/>
      <c r="B189" s="52" t="s">
        <v>109</v>
      </c>
      <c r="C189" s="52" t="s">
        <v>15</v>
      </c>
    </row>
    <row r="190" spans="1:3" x14ac:dyDescent="0.25">
      <c r="A190" s="52"/>
      <c r="B190" s="52" t="s">
        <v>110</v>
      </c>
      <c r="C190" s="52" t="s">
        <v>15</v>
      </c>
    </row>
    <row r="191" spans="1:3" x14ac:dyDescent="0.25">
      <c r="A191" s="52"/>
      <c r="B191" s="52" t="s">
        <v>111</v>
      </c>
      <c r="C191" s="52" t="s">
        <v>15</v>
      </c>
    </row>
    <row r="192" spans="1:3" ht="30" x14ac:dyDescent="0.25">
      <c r="A192" s="52"/>
      <c r="B192" s="52" t="s">
        <v>112</v>
      </c>
      <c r="C192" s="52" t="s">
        <v>15</v>
      </c>
    </row>
    <row r="193" spans="1:3" ht="30" x14ac:dyDescent="0.25">
      <c r="A193" s="52"/>
      <c r="B193" s="52" t="s">
        <v>113</v>
      </c>
      <c r="C193" s="52" t="s">
        <v>15</v>
      </c>
    </row>
    <row r="194" spans="1:3" ht="30" x14ac:dyDescent="0.25">
      <c r="A194" s="52"/>
      <c r="B194" s="52" t="s">
        <v>114</v>
      </c>
      <c r="C194" s="52" t="s">
        <v>15</v>
      </c>
    </row>
    <row r="195" spans="1:3" ht="30" x14ac:dyDescent="0.25">
      <c r="A195" s="52"/>
      <c r="B195" s="52" t="s">
        <v>115</v>
      </c>
      <c r="C195" s="52" t="s">
        <v>15</v>
      </c>
    </row>
    <row r="196" spans="1:3" x14ac:dyDescent="0.25">
      <c r="A196" s="17"/>
      <c r="B196" s="10"/>
      <c r="C196" s="10"/>
    </row>
    <row r="197" spans="1:3" x14ac:dyDescent="0.25">
      <c r="A197" s="8" t="s">
        <v>169</v>
      </c>
      <c r="B197" s="8" t="s">
        <v>106</v>
      </c>
      <c r="C197" s="8" t="s">
        <v>119</v>
      </c>
    </row>
    <row r="198" spans="1:3" x14ac:dyDescent="0.25">
      <c r="A198" s="52"/>
      <c r="B198" s="52" t="s">
        <v>57</v>
      </c>
      <c r="C198" s="52"/>
    </row>
    <row r="199" spans="1:3" x14ac:dyDescent="0.25">
      <c r="A199" s="52"/>
      <c r="B199" s="52" t="s">
        <v>108</v>
      </c>
      <c r="C199" s="52"/>
    </row>
    <row r="200" spans="1:3" x14ac:dyDescent="0.25">
      <c r="A200" s="52"/>
      <c r="B200" s="52" t="s">
        <v>109</v>
      </c>
      <c r="C200" s="52" t="s">
        <v>15</v>
      </c>
    </row>
    <row r="201" spans="1:3" x14ac:dyDescent="0.25">
      <c r="A201" s="52"/>
      <c r="B201" s="52" t="s">
        <v>110</v>
      </c>
      <c r="C201" s="52" t="s">
        <v>15</v>
      </c>
    </row>
    <row r="202" spans="1:3" x14ac:dyDescent="0.25">
      <c r="A202" s="52"/>
      <c r="B202" s="52" t="s">
        <v>111</v>
      </c>
      <c r="C202" s="52" t="s">
        <v>15</v>
      </c>
    </row>
    <row r="203" spans="1:3" ht="30" x14ac:dyDescent="0.25">
      <c r="A203" s="52"/>
      <c r="B203" s="52" t="s">
        <v>112</v>
      </c>
      <c r="C203" s="52" t="s">
        <v>15</v>
      </c>
    </row>
    <row r="204" spans="1:3" ht="30" x14ac:dyDescent="0.25">
      <c r="A204" s="52"/>
      <c r="B204" s="52" t="s">
        <v>113</v>
      </c>
      <c r="C204" s="52" t="s">
        <v>15</v>
      </c>
    </row>
    <row r="205" spans="1:3" ht="30" x14ac:dyDescent="0.25">
      <c r="A205" s="52"/>
      <c r="B205" s="52" t="s">
        <v>114</v>
      </c>
      <c r="C205" s="52" t="s">
        <v>15</v>
      </c>
    </row>
    <row r="206" spans="1:3" ht="30" x14ac:dyDescent="0.25">
      <c r="A206" s="52"/>
      <c r="B206" s="52" t="s">
        <v>115</v>
      </c>
      <c r="C206" s="52" t="s">
        <v>15</v>
      </c>
    </row>
    <row r="207" spans="1:3" x14ac:dyDescent="0.25">
      <c r="A207" s="17"/>
      <c r="B207" s="10"/>
      <c r="C207" s="10"/>
    </row>
    <row r="208" spans="1:3" x14ac:dyDescent="0.25">
      <c r="A208" s="8" t="s">
        <v>121</v>
      </c>
      <c r="B208" s="8" t="s">
        <v>106</v>
      </c>
      <c r="C208" s="8" t="s">
        <v>120</v>
      </c>
    </row>
    <row r="209" spans="1:3" x14ac:dyDescent="0.25">
      <c r="A209" s="52"/>
      <c r="B209" s="52" t="s">
        <v>57</v>
      </c>
      <c r="C209" s="52"/>
    </row>
    <row r="210" spans="1:3" x14ac:dyDescent="0.25">
      <c r="A210" s="52"/>
      <c r="B210" s="52" t="s">
        <v>108</v>
      </c>
      <c r="C210" s="52"/>
    </row>
    <row r="211" spans="1:3" x14ac:dyDescent="0.25">
      <c r="A211" s="52"/>
      <c r="B211" s="52" t="s">
        <v>109</v>
      </c>
      <c r="C211" s="52" t="s">
        <v>15</v>
      </c>
    </row>
    <row r="212" spans="1:3" x14ac:dyDescent="0.25">
      <c r="A212" s="52"/>
      <c r="B212" s="52" t="s">
        <v>110</v>
      </c>
      <c r="C212" s="52" t="s">
        <v>15</v>
      </c>
    </row>
    <row r="213" spans="1:3" x14ac:dyDescent="0.25">
      <c r="A213" s="52"/>
      <c r="B213" s="52" t="s">
        <v>111</v>
      </c>
      <c r="C213" s="52" t="s">
        <v>15</v>
      </c>
    </row>
    <row r="214" spans="1:3" ht="30" x14ac:dyDescent="0.25">
      <c r="A214" s="52"/>
      <c r="B214" s="52" t="s">
        <v>112</v>
      </c>
      <c r="C214" s="52" t="s">
        <v>15</v>
      </c>
    </row>
    <row r="215" spans="1:3" ht="30" x14ac:dyDescent="0.25">
      <c r="A215" s="52"/>
      <c r="B215" s="52" t="s">
        <v>113</v>
      </c>
      <c r="C215" s="52" t="s">
        <v>15</v>
      </c>
    </row>
    <row r="216" spans="1:3" ht="30" x14ac:dyDescent="0.25">
      <c r="A216" s="52"/>
      <c r="B216" s="52" t="s">
        <v>114</v>
      </c>
      <c r="C216" s="52" t="s">
        <v>15</v>
      </c>
    </row>
    <row r="217" spans="1:3" ht="30" x14ac:dyDescent="0.25">
      <c r="A217" s="52"/>
      <c r="B217" s="52" t="s">
        <v>115</v>
      </c>
      <c r="C217" s="52" t="s">
        <v>15</v>
      </c>
    </row>
    <row r="218" spans="1:3" x14ac:dyDescent="0.25">
      <c r="A218" s="17"/>
      <c r="B218" s="10"/>
      <c r="C218" s="10"/>
    </row>
    <row r="219" spans="1:3" x14ac:dyDescent="0.25">
      <c r="A219" s="8" t="s">
        <v>123</v>
      </c>
      <c r="B219" s="8" t="s">
        <v>106</v>
      </c>
      <c r="C219" s="8" t="s">
        <v>122</v>
      </c>
    </row>
    <row r="220" spans="1:3" x14ac:dyDescent="0.25">
      <c r="A220" s="52"/>
      <c r="B220" s="52" t="s">
        <v>57</v>
      </c>
      <c r="C220" s="52"/>
    </row>
    <row r="221" spans="1:3" x14ac:dyDescent="0.25">
      <c r="A221" s="52"/>
      <c r="B221" s="52" t="s">
        <v>108</v>
      </c>
      <c r="C221" s="52"/>
    </row>
    <row r="222" spans="1:3" x14ac:dyDescent="0.25">
      <c r="A222" s="52"/>
      <c r="B222" s="52" t="s">
        <v>109</v>
      </c>
      <c r="C222" s="52" t="s">
        <v>15</v>
      </c>
    </row>
    <row r="223" spans="1:3" x14ac:dyDescent="0.25">
      <c r="A223" s="52"/>
      <c r="B223" s="52" t="s">
        <v>110</v>
      </c>
      <c r="C223" s="52" t="s">
        <v>15</v>
      </c>
    </row>
    <row r="224" spans="1:3" x14ac:dyDescent="0.25">
      <c r="A224" s="52"/>
      <c r="B224" s="52" t="s">
        <v>111</v>
      </c>
      <c r="C224" s="52" t="s">
        <v>15</v>
      </c>
    </row>
    <row r="225" spans="1:3" ht="30" x14ac:dyDescent="0.25">
      <c r="A225" s="52"/>
      <c r="B225" s="52" t="s">
        <v>112</v>
      </c>
      <c r="C225" s="52" t="s">
        <v>15</v>
      </c>
    </row>
    <row r="226" spans="1:3" ht="30" x14ac:dyDescent="0.25">
      <c r="A226" s="52"/>
      <c r="B226" s="52" t="s">
        <v>113</v>
      </c>
      <c r="C226" s="52" t="s">
        <v>15</v>
      </c>
    </row>
    <row r="227" spans="1:3" ht="30" x14ac:dyDescent="0.25">
      <c r="A227" s="52"/>
      <c r="B227" s="52" t="s">
        <v>114</v>
      </c>
      <c r="C227" s="52" t="s">
        <v>15</v>
      </c>
    </row>
    <row r="228" spans="1:3" ht="30" x14ac:dyDescent="0.25">
      <c r="A228" s="52"/>
      <c r="B228" s="52" t="s">
        <v>115</v>
      </c>
      <c r="C228" s="52" t="s">
        <v>15</v>
      </c>
    </row>
    <row r="229" spans="1:3" x14ac:dyDescent="0.25">
      <c r="A229" s="17"/>
      <c r="B229" s="10"/>
      <c r="C229" s="10"/>
    </row>
    <row r="230" spans="1:3" x14ac:dyDescent="0.25">
      <c r="A230" s="8" t="s">
        <v>126</v>
      </c>
      <c r="B230" s="8" t="s">
        <v>106</v>
      </c>
      <c r="C230" s="8" t="s">
        <v>124</v>
      </c>
    </row>
    <row r="231" spans="1:3" x14ac:dyDescent="0.25">
      <c r="A231" s="52"/>
      <c r="B231" s="52" t="s">
        <v>57</v>
      </c>
      <c r="C231" s="52"/>
    </row>
    <row r="232" spans="1:3" x14ac:dyDescent="0.25">
      <c r="A232" s="52"/>
      <c r="B232" s="52" t="s">
        <v>108</v>
      </c>
      <c r="C232" s="52"/>
    </row>
    <row r="233" spans="1:3" x14ac:dyDescent="0.25">
      <c r="A233" s="52"/>
      <c r="B233" s="52" t="s">
        <v>109</v>
      </c>
      <c r="C233" s="52" t="s">
        <v>15</v>
      </c>
    </row>
    <row r="234" spans="1:3" x14ac:dyDescent="0.25">
      <c r="A234" s="52"/>
      <c r="B234" s="52" t="s">
        <v>110</v>
      </c>
      <c r="C234" s="52" t="s">
        <v>15</v>
      </c>
    </row>
    <row r="235" spans="1:3" x14ac:dyDescent="0.25">
      <c r="A235" s="52"/>
      <c r="B235" s="52" t="s">
        <v>111</v>
      </c>
      <c r="C235" s="52" t="s">
        <v>15</v>
      </c>
    </row>
    <row r="236" spans="1:3" ht="30" x14ac:dyDescent="0.25">
      <c r="A236" s="52"/>
      <c r="B236" s="52" t="s">
        <v>112</v>
      </c>
      <c r="C236" s="52" t="s">
        <v>15</v>
      </c>
    </row>
    <row r="237" spans="1:3" ht="30" x14ac:dyDescent="0.25">
      <c r="A237" s="52"/>
      <c r="B237" s="52" t="s">
        <v>113</v>
      </c>
      <c r="C237" s="52" t="s">
        <v>15</v>
      </c>
    </row>
    <row r="238" spans="1:3" ht="30" x14ac:dyDescent="0.25">
      <c r="A238" s="52"/>
      <c r="B238" s="52" t="s">
        <v>114</v>
      </c>
      <c r="C238" s="52" t="s">
        <v>15</v>
      </c>
    </row>
    <row r="239" spans="1:3" ht="30" x14ac:dyDescent="0.25">
      <c r="A239" s="52"/>
      <c r="B239" s="52" t="s">
        <v>115</v>
      </c>
      <c r="C239" s="52" t="s">
        <v>15</v>
      </c>
    </row>
    <row r="240" spans="1:3" x14ac:dyDescent="0.25">
      <c r="A240" s="17"/>
      <c r="B240" s="10"/>
      <c r="C240" s="10"/>
    </row>
    <row r="241" spans="1:3" x14ac:dyDescent="0.25">
      <c r="A241" s="17" t="s">
        <v>125</v>
      </c>
      <c r="B241" s="10"/>
      <c r="C241" s="10"/>
    </row>
    <row r="242" spans="1:3" x14ac:dyDescent="0.25">
      <c r="A242" s="8" t="s">
        <v>127</v>
      </c>
      <c r="B242" s="52" t="s">
        <v>90</v>
      </c>
      <c r="C242" s="40">
        <v>0</v>
      </c>
    </row>
    <row r="243" spans="1:3" x14ac:dyDescent="0.25">
      <c r="A243" s="8" t="s">
        <v>129</v>
      </c>
      <c r="B243" s="52" t="s">
        <v>128</v>
      </c>
      <c r="C243" s="40">
        <v>0</v>
      </c>
    </row>
    <row r="244" spans="1:3" ht="30" x14ac:dyDescent="0.25">
      <c r="A244" s="8" t="s">
        <v>130</v>
      </c>
      <c r="B244" s="52" t="s">
        <v>94</v>
      </c>
      <c r="C244" s="40">
        <v>0</v>
      </c>
    </row>
    <row r="245" spans="1:3" x14ac:dyDescent="0.25">
      <c r="A245" s="8" t="s">
        <v>132</v>
      </c>
      <c r="B245" s="52" t="s">
        <v>96</v>
      </c>
      <c r="C245" s="52" t="s">
        <v>15</v>
      </c>
    </row>
    <row r="246" spans="1:3" x14ac:dyDescent="0.25">
      <c r="A246" s="17" t="s">
        <v>131</v>
      </c>
      <c r="B246" s="10"/>
      <c r="C246" s="10"/>
    </row>
    <row r="247" spans="1:3" x14ac:dyDescent="0.25">
      <c r="A247" s="8" t="s">
        <v>134</v>
      </c>
      <c r="B247" s="52" t="s">
        <v>133</v>
      </c>
      <c r="C247" s="40">
        <v>25</v>
      </c>
    </row>
    <row r="248" spans="1:3" x14ac:dyDescent="0.25">
      <c r="A248" s="8" t="s">
        <v>136</v>
      </c>
      <c r="B248" s="52" t="s">
        <v>135</v>
      </c>
      <c r="C248" s="40">
        <v>0</v>
      </c>
    </row>
    <row r="249" spans="1:3" ht="30" x14ac:dyDescent="0.25">
      <c r="A249" s="8" t="s">
        <v>170</v>
      </c>
      <c r="B249" s="52" t="s">
        <v>137</v>
      </c>
      <c r="C249" s="40" t="s">
        <v>279</v>
      </c>
    </row>
    <row r="250" spans="1:3" x14ac:dyDescent="0.25">
      <c r="A250" s="21"/>
    </row>
    <row r="251" spans="1:3" x14ac:dyDescent="0.25">
      <c r="A251" s="21"/>
    </row>
    <row r="252" spans="1:3" ht="14.25" customHeight="1" x14ac:dyDescent="0.25">
      <c r="A252" s="21"/>
    </row>
    <row r="253" spans="1:3" x14ac:dyDescent="0.25">
      <c r="A253" s="21"/>
    </row>
    <row r="254" spans="1:3" x14ac:dyDescent="0.25">
      <c r="A254" s="21" t="s">
        <v>138</v>
      </c>
    </row>
    <row r="255" spans="1:3" x14ac:dyDescent="0.25">
      <c r="A255" s="21" t="s">
        <v>139</v>
      </c>
    </row>
    <row r="256" spans="1:3" x14ac:dyDescent="0.25">
      <c r="A256" s="21"/>
    </row>
    <row r="257" spans="1:1" x14ac:dyDescent="0.25">
      <c r="A257" s="21"/>
    </row>
    <row r="258" spans="1:1" x14ac:dyDescent="0.25">
      <c r="A258" s="21"/>
    </row>
    <row r="259" spans="1:1" x14ac:dyDescent="0.25">
      <c r="A259" s="21"/>
    </row>
    <row r="260" spans="1:1" x14ac:dyDescent="0.25">
      <c r="A260" s="22" t="s">
        <v>140</v>
      </c>
    </row>
    <row r="261" spans="1:1" x14ac:dyDescent="0.25">
      <c r="A261" s="7"/>
    </row>
    <row r="262" spans="1:1" x14ac:dyDescent="0.25">
      <c r="A262" s="51" t="s">
        <v>240</v>
      </c>
    </row>
    <row r="263" spans="1:1" x14ac:dyDescent="0.25">
      <c r="A263" s="51" t="s">
        <v>241</v>
      </c>
    </row>
    <row r="264" spans="1:1" x14ac:dyDescent="0.25">
      <c r="A264" s="51"/>
    </row>
    <row r="265" spans="1:1" x14ac:dyDescent="0.25">
      <c r="A265" s="7"/>
    </row>
  </sheetData>
  <mergeCells count="23">
    <mergeCell ref="A156:C156"/>
    <mergeCell ref="A108:C108"/>
    <mergeCell ref="A115:C115"/>
    <mergeCell ref="A122:C122"/>
    <mergeCell ref="A129:C129"/>
    <mergeCell ref="A136:C136"/>
    <mergeCell ref="A143:C143"/>
    <mergeCell ref="A95:A96"/>
    <mergeCell ref="B95:B96"/>
    <mergeCell ref="C95:C96"/>
    <mergeCell ref="B1:C1"/>
    <mergeCell ref="B2:C2"/>
    <mergeCell ref="A3:C3"/>
    <mergeCell ref="A8:C8"/>
    <mergeCell ref="A26:C26"/>
    <mergeCell ref="A27:A28"/>
    <mergeCell ref="B27:B28"/>
    <mergeCell ref="C27:C28"/>
    <mergeCell ref="A30:C30"/>
    <mergeCell ref="A59:C59"/>
    <mergeCell ref="A62:C62"/>
    <mergeCell ref="A79:C79"/>
    <mergeCell ref="A82:C82"/>
  </mergeCells>
  <pageMargins left="0.7" right="0.7" top="0.75" bottom="0.75" header="0.3" footer="0.3"/>
  <pageSetup paperSize="9" scale="87" orientation="portrait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5368C-BDED-486C-9814-BD5A1B158235}">
  <dimension ref="A1:I89"/>
  <sheetViews>
    <sheetView topLeftCell="A52" workbookViewId="0">
      <selection activeCell="B68" sqref="B68"/>
    </sheetView>
  </sheetViews>
  <sheetFormatPr defaultRowHeight="15" x14ac:dyDescent="0.25"/>
  <cols>
    <col min="1" max="1" width="29.7109375" customWidth="1"/>
    <col min="2" max="3" width="15.42578125" customWidth="1"/>
    <col min="4" max="4" width="11.42578125" bestFit="1" customWidth="1"/>
    <col min="6" max="6" width="41" customWidth="1"/>
  </cols>
  <sheetData>
    <row r="1" spans="1:5" x14ac:dyDescent="0.25">
      <c r="A1" s="57" t="s">
        <v>243</v>
      </c>
      <c r="B1" s="58"/>
      <c r="C1" s="59"/>
      <c r="D1" s="59"/>
      <c r="E1" s="59"/>
    </row>
    <row r="2" spans="1:5" ht="15.75" x14ac:dyDescent="0.25">
      <c r="A2" s="60" t="s">
        <v>244</v>
      </c>
      <c r="B2" s="58"/>
      <c r="C2" s="59"/>
      <c r="D2" s="59"/>
      <c r="E2" s="59"/>
    </row>
    <row r="3" spans="1:5" x14ac:dyDescent="0.25">
      <c r="A3" s="59"/>
      <c r="B3" s="59"/>
      <c r="C3" s="59"/>
      <c r="D3" s="59"/>
      <c r="E3" s="59"/>
    </row>
    <row r="4" spans="1:5" x14ac:dyDescent="0.25">
      <c r="A4" s="122" t="s">
        <v>245</v>
      </c>
      <c r="B4" s="123"/>
      <c r="C4" s="123"/>
      <c r="D4" s="123"/>
      <c r="E4" s="123"/>
    </row>
    <row r="5" spans="1:5" x14ac:dyDescent="0.25">
      <c r="A5" s="61"/>
      <c r="B5" s="58"/>
      <c r="C5" s="58"/>
      <c r="D5" s="58"/>
      <c r="E5" s="58"/>
    </row>
    <row r="6" spans="1:5" x14ac:dyDescent="0.25">
      <c r="A6" s="122" t="s">
        <v>246</v>
      </c>
      <c r="B6" s="123"/>
      <c r="C6" s="123"/>
      <c r="D6" s="123"/>
      <c r="E6" s="123"/>
    </row>
    <row r="7" spans="1:5" x14ac:dyDescent="0.25">
      <c r="A7" s="61"/>
      <c r="B7" s="58"/>
      <c r="C7" s="58"/>
      <c r="D7" s="58"/>
      <c r="E7" s="58"/>
    </row>
    <row r="8" spans="1:5" x14ac:dyDescent="0.25">
      <c r="A8" s="62" t="s">
        <v>247</v>
      </c>
      <c r="B8" s="124" t="s">
        <v>248</v>
      </c>
      <c r="C8" s="124"/>
      <c r="D8" s="124" t="s">
        <v>249</v>
      </c>
      <c r="E8" s="124"/>
    </row>
    <row r="9" spans="1:5" x14ac:dyDescent="0.25">
      <c r="A9" s="62" t="s">
        <v>250</v>
      </c>
      <c r="B9" s="119" t="s">
        <v>251</v>
      </c>
      <c r="C9" s="119" t="s">
        <v>252</v>
      </c>
      <c r="D9" s="119" t="s">
        <v>251</v>
      </c>
      <c r="E9" s="119" t="s">
        <v>252</v>
      </c>
    </row>
    <row r="10" spans="1:5" x14ac:dyDescent="0.25">
      <c r="A10" s="62" t="s">
        <v>253</v>
      </c>
      <c r="B10" s="120"/>
      <c r="C10" s="120"/>
      <c r="D10" s="120"/>
      <c r="E10" s="120"/>
    </row>
    <row r="11" spans="1:5" x14ac:dyDescent="0.25">
      <c r="A11" s="62" t="s">
        <v>254</v>
      </c>
      <c r="B11" s="121"/>
      <c r="C11" s="121"/>
      <c r="D11" s="121"/>
      <c r="E11" s="121"/>
    </row>
    <row r="12" spans="1:5" x14ac:dyDescent="0.25">
      <c r="A12" s="63" t="s">
        <v>255</v>
      </c>
      <c r="B12" s="65">
        <v>2941825.2</v>
      </c>
      <c r="C12" s="65">
        <v>2941825.2</v>
      </c>
      <c r="D12" s="64"/>
      <c r="E12" s="64"/>
    </row>
    <row r="13" spans="1:5" x14ac:dyDescent="0.25">
      <c r="A13" s="66" t="s">
        <v>228</v>
      </c>
      <c r="B13" s="68">
        <v>2941825.2</v>
      </c>
      <c r="C13" s="68">
        <v>2941825.2</v>
      </c>
      <c r="D13" s="67"/>
      <c r="E13" s="67"/>
    </row>
    <row r="14" spans="1:5" ht="48" x14ac:dyDescent="0.25">
      <c r="A14" s="69" t="s">
        <v>179</v>
      </c>
      <c r="B14" s="71">
        <f>817787.14+100000</f>
        <v>917787.14</v>
      </c>
      <c r="C14" s="71">
        <v>817787.14</v>
      </c>
      <c r="D14" s="70"/>
      <c r="E14" s="70"/>
    </row>
    <row r="15" spans="1:5" x14ac:dyDescent="0.25">
      <c r="A15" s="72" t="s">
        <v>180</v>
      </c>
      <c r="B15" s="73"/>
      <c r="C15" s="74">
        <v>817787.14</v>
      </c>
      <c r="D15" s="73"/>
      <c r="E15" s="73"/>
    </row>
    <row r="16" spans="1:5" ht="24" x14ac:dyDescent="0.25">
      <c r="A16" s="72" t="s">
        <v>229</v>
      </c>
      <c r="B16" s="74">
        <v>1554.29</v>
      </c>
      <c r="C16" s="73"/>
      <c r="D16" s="73"/>
      <c r="E16" s="73"/>
    </row>
    <row r="17" spans="1:5" x14ac:dyDescent="0.25">
      <c r="A17" s="72" t="s">
        <v>181</v>
      </c>
      <c r="B17" s="74">
        <v>4921.43</v>
      </c>
      <c r="C17" s="73"/>
      <c r="D17" s="73"/>
      <c r="E17" s="73"/>
    </row>
    <row r="18" spans="1:5" ht="36" x14ac:dyDescent="0.25">
      <c r="A18" s="72" t="s">
        <v>182</v>
      </c>
      <c r="B18" s="74">
        <v>45192.03</v>
      </c>
      <c r="C18" s="73"/>
      <c r="D18" s="73"/>
      <c r="E18" s="73"/>
    </row>
    <row r="19" spans="1:5" ht="36" x14ac:dyDescent="0.25">
      <c r="A19" s="72" t="s">
        <v>230</v>
      </c>
      <c r="B19" s="75">
        <v>443.28</v>
      </c>
      <c r="C19" s="73"/>
      <c r="D19" s="73"/>
      <c r="E19" s="73"/>
    </row>
    <row r="20" spans="1:5" x14ac:dyDescent="0.25">
      <c r="A20" s="72" t="s">
        <v>183</v>
      </c>
      <c r="B20" s="74">
        <v>137058.56</v>
      </c>
      <c r="C20" s="73"/>
      <c r="D20" s="73"/>
      <c r="E20" s="73"/>
    </row>
    <row r="21" spans="1:5" ht="24" x14ac:dyDescent="0.25">
      <c r="A21" s="72" t="s">
        <v>256</v>
      </c>
      <c r="B21" s="74">
        <f>236636.32+100000</f>
        <v>336636.32</v>
      </c>
      <c r="C21" s="73"/>
      <c r="D21" s="73"/>
      <c r="E21" s="73"/>
    </row>
    <row r="22" spans="1:5" ht="36" x14ac:dyDescent="0.25">
      <c r="A22" s="72" t="s">
        <v>257</v>
      </c>
      <c r="B22" s="74">
        <v>296473.88</v>
      </c>
      <c r="C22" s="73"/>
      <c r="D22" s="73"/>
      <c r="E22" s="73"/>
    </row>
    <row r="23" spans="1:5" x14ac:dyDescent="0.25">
      <c r="A23" s="72" t="s">
        <v>185</v>
      </c>
      <c r="B23" s="74">
        <v>25851.57</v>
      </c>
      <c r="C23" s="73"/>
      <c r="D23" s="73"/>
      <c r="E23" s="73"/>
    </row>
    <row r="24" spans="1:5" ht="24" x14ac:dyDescent="0.25">
      <c r="A24" s="72" t="s">
        <v>232</v>
      </c>
      <c r="B24" s="74">
        <v>9895.1200000000008</v>
      </c>
      <c r="C24" s="73"/>
      <c r="D24" s="73"/>
      <c r="E24" s="73"/>
    </row>
    <row r="25" spans="1:5" ht="24" x14ac:dyDescent="0.25">
      <c r="A25" s="72" t="s">
        <v>186</v>
      </c>
      <c r="B25" s="74">
        <v>15196.89</v>
      </c>
      <c r="C25" s="73"/>
      <c r="D25" s="73"/>
      <c r="E25" s="73"/>
    </row>
    <row r="26" spans="1:5" x14ac:dyDescent="0.25">
      <c r="A26" s="72" t="s">
        <v>258</v>
      </c>
      <c r="B26" s="74">
        <v>33300.22</v>
      </c>
      <c r="C26" s="73"/>
      <c r="D26" s="73"/>
      <c r="E26" s="73"/>
    </row>
    <row r="27" spans="1:5" ht="48" x14ac:dyDescent="0.25">
      <c r="A27" s="72" t="s">
        <v>187</v>
      </c>
      <c r="B27" s="74">
        <v>11263.55</v>
      </c>
      <c r="C27" s="73"/>
      <c r="D27" s="73"/>
      <c r="E27" s="73"/>
    </row>
    <row r="28" spans="1:5" ht="48" x14ac:dyDescent="0.25">
      <c r="A28" s="69" t="s">
        <v>188</v>
      </c>
      <c r="B28" s="71">
        <f>594727.82+120000+20200</f>
        <v>734927.82</v>
      </c>
      <c r="C28" s="71">
        <v>594727.81999999995</v>
      </c>
      <c r="D28" s="70"/>
      <c r="E28" s="70"/>
    </row>
    <row r="29" spans="1:5" x14ac:dyDescent="0.25">
      <c r="A29" s="72" t="s">
        <v>180</v>
      </c>
      <c r="B29" s="73"/>
      <c r="C29" s="74">
        <v>594727.81999999995</v>
      </c>
      <c r="D29" s="73"/>
      <c r="E29" s="73"/>
    </row>
    <row r="30" spans="1:5" ht="48" x14ac:dyDescent="0.25">
      <c r="A30" s="72" t="s">
        <v>259</v>
      </c>
      <c r="B30" s="74">
        <v>89814.25</v>
      </c>
      <c r="C30" s="73"/>
      <c r="D30" s="73"/>
      <c r="E30" s="73"/>
    </row>
    <row r="31" spans="1:5" x14ac:dyDescent="0.25">
      <c r="A31" s="72" t="s">
        <v>183</v>
      </c>
      <c r="B31" s="74">
        <f>137058.57+120000</f>
        <v>257058.57</v>
      </c>
      <c r="C31" s="73"/>
      <c r="D31" s="73"/>
      <c r="E31" s="73"/>
    </row>
    <row r="32" spans="1:5" x14ac:dyDescent="0.25">
      <c r="A32" s="72" t="s">
        <v>189</v>
      </c>
      <c r="B32" s="74">
        <v>250857.1</v>
      </c>
      <c r="C32" s="73"/>
      <c r="D32" s="73"/>
      <c r="E32" s="73"/>
    </row>
    <row r="33" spans="1:5" ht="24" x14ac:dyDescent="0.25">
      <c r="A33" s="72" t="s">
        <v>190</v>
      </c>
      <c r="B33" s="74">
        <v>5012.7</v>
      </c>
      <c r="C33" s="73"/>
      <c r="D33" s="73"/>
      <c r="E33" s="73"/>
    </row>
    <row r="34" spans="1:5" x14ac:dyDescent="0.25">
      <c r="A34" s="72" t="s">
        <v>260</v>
      </c>
      <c r="B34" s="74">
        <v>17709</v>
      </c>
      <c r="C34" s="73"/>
      <c r="D34" s="73"/>
      <c r="E34" s="73"/>
    </row>
    <row r="35" spans="1:5" x14ac:dyDescent="0.25">
      <c r="A35" s="72" t="s">
        <v>185</v>
      </c>
      <c r="B35" s="74">
        <f>25851.57+20200</f>
        <v>46051.57</v>
      </c>
      <c r="C35" s="73"/>
      <c r="D35" s="73"/>
      <c r="E35" s="73"/>
    </row>
    <row r="36" spans="1:5" ht="24" x14ac:dyDescent="0.25">
      <c r="A36" s="72" t="s">
        <v>191</v>
      </c>
      <c r="B36" s="74">
        <v>46623.94</v>
      </c>
      <c r="C36" s="73"/>
      <c r="D36" s="73"/>
      <c r="E36" s="73"/>
    </row>
    <row r="37" spans="1:5" ht="24" x14ac:dyDescent="0.25">
      <c r="A37" s="72" t="s">
        <v>233</v>
      </c>
      <c r="B37" s="74">
        <v>10464.299999999999</v>
      </c>
      <c r="C37" s="73"/>
      <c r="D37" s="73"/>
      <c r="E37" s="73"/>
    </row>
    <row r="38" spans="1:5" x14ac:dyDescent="0.25">
      <c r="A38" s="72" t="s">
        <v>261</v>
      </c>
      <c r="B38" s="74">
        <v>4750</v>
      </c>
      <c r="C38" s="73"/>
      <c r="D38" s="73"/>
      <c r="E38" s="73"/>
    </row>
    <row r="39" spans="1:5" ht="24" x14ac:dyDescent="0.25">
      <c r="A39" s="72" t="s">
        <v>262</v>
      </c>
      <c r="B39" s="74">
        <v>4540.93</v>
      </c>
      <c r="C39" s="73"/>
      <c r="D39" s="73"/>
      <c r="E39" s="73"/>
    </row>
    <row r="40" spans="1:5" ht="36" x14ac:dyDescent="0.25">
      <c r="A40" s="72" t="s">
        <v>263</v>
      </c>
      <c r="B40" s="74">
        <v>1500</v>
      </c>
      <c r="C40" s="73"/>
      <c r="D40" s="73"/>
      <c r="E40" s="73"/>
    </row>
    <row r="41" spans="1:5" ht="36" x14ac:dyDescent="0.25">
      <c r="A41" s="72" t="s">
        <v>264</v>
      </c>
      <c r="B41" s="75">
        <v>545.46</v>
      </c>
      <c r="C41" s="73"/>
      <c r="D41" s="73"/>
      <c r="E41" s="73"/>
    </row>
    <row r="42" spans="1:5" ht="24" x14ac:dyDescent="0.25">
      <c r="A42" s="69" t="s">
        <v>192</v>
      </c>
      <c r="B42" s="71">
        <f>585773.68*1.4</f>
        <v>820083.152</v>
      </c>
      <c r="C42" s="71">
        <v>585773.68000000005</v>
      </c>
      <c r="D42" s="70"/>
      <c r="E42" s="70"/>
    </row>
    <row r="43" spans="1:5" x14ac:dyDescent="0.25">
      <c r="A43" s="72" t="s">
        <v>180</v>
      </c>
      <c r="B43" s="73"/>
      <c r="C43" s="74">
        <v>585773.68000000005</v>
      </c>
      <c r="D43" s="73"/>
      <c r="E43" s="73"/>
    </row>
    <row r="44" spans="1:5" ht="24" x14ac:dyDescent="0.25">
      <c r="A44" s="72" t="s">
        <v>193</v>
      </c>
      <c r="B44" s="74">
        <f>5476.46*1.4</f>
        <v>7667.0439999999999</v>
      </c>
      <c r="C44" s="73"/>
      <c r="D44" s="73"/>
      <c r="E44" s="73"/>
    </row>
    <row r="45" spans="1:5" x14ac:dyDescent="0.25">
      <c r="A45" s="72" t="s">
        <v>194</v>
      </c>
      <c r="B45" s="74">
        <f>4397.81*1.4</f>
        <v>6156.9340000000002</v>
      </c>
      <c r="C45" s="73"/>
      <c r="D45" s="73"/>
      <c r="E45" s="73"/>
    </row>
    <row r="46" spans="1:5" x14ac:dyDescent="0.25">
      <c r="A46" s="88" t="s">
        <v>195</v>
      </c>
      <c r="B46" s="89">
        <f>7080.73*1.4</f>
        <v>9913.021999999999</v>
      </c>
      <c r="C46" s="73"/>
      <c r="D46" s="73"/>
      <c r="E46" s="73"/>
    </row>
    <row r="47" spans="1:5" x14ac:dyDescent="0.25">
      <c r="A47" s="88" t="s">
        <v>196</v>
      </c>
      <c r="B47" s="89">
        <f>1458.06*1.4</f>
        <v>2041.2839999999999</v>
      </c>
      <c r="C47" s="73"/>
      <c r="D47" s="73"/>
      <c r="E47" s="73"/>
    </row>
    <row r="48" spans="1:5" x14ac:dyDescent="0.25">
      <c r="A48" s="85" t="s">
        <v>265</v>
      </c>
      <c r="B48" s="86">
        <f>191.96*1.4</f>
        <v>268.74399999999997</v>
      </c>
      <c r="C48" s="73"/>
      <c r="D48" s="73"/>
      <c r="E48" s="73"/>
    </row>
    <row r="49" spans="1:5" x14ac:dyDescent="0.25">
      <c r="A49" s="85" t="s">
        <v>197</v>
      </c>
      <c r="B49" s="87">
        <f>4442.69*1.35</f>
        <v>5997.6314999999995</v>
      </c>
      <c r="C49" s="73"/>
      <c r="D49" s="73"/>
      <c r="E49" s="73"/>
    </row>
    <row r="50" spans="1:5" ht="24" x14ac:dyDescent="0.25">
      <c r="A50" s="85" t="s">
        <v>198</v>
      </c>
      <c r="B50" s="87">
        <f>1317.13*1.4</f>
        <v>1843.982</v>
      </c>
      <c r="C50" s="73"/>
      <c r="D50" s="73"/>
      <c r="E50" s="73"/>
    </row>
    <row r="51" spans="1:5" ht="24" x14ac:dyDescent="0.25">
      <c r="A51" s="85" t="s">
        <v>199</v>
      </c>
      <c r="B51" s="86">
        <f>977.77*1.4</f>
        <v>1368.8779999999999</v>
      </c>
      <c r="C51" s="73"/>
      <c r="D51" s="73"/>
      <c r="E51" s="73"/>
    </row>
    <row r="52" spans="1:5" x14ac:dyDescent="0.25">
      <c r="A52" s="85" t="s">
        <v>266</v>
      </c>
      <c r="B52" s="87">
        <f>3938.41*1.4</f>
        <v>5513.7739999999994</v>
      </c>
      <c r="C52" s="73"/>
      <c r="D52" s="73"/>
      <c r="E52" s="73"/>
    </row>
    <row r="53" spans="1:5" ht="24" x14ac:dyDescent="0.25">
      <c r="A53" s="83" t="s">
        <v>200</v>
      </c>
      <c r="B53" s="84">
        <f>134928.44*1.4</f>
        <v>188899.81599999999</v>
      </c>
      <c r="C53" s="73"/>
      <c r="D53" s="73"/>
      <c r="E53" s="73"/>
    </row>
    <row r="54" spans="1:5" ht="36" x14ac:dyDescent="0.25">
      <c r="A54" s="83" t="s">
        <v>201</v>
      </c>
      <c r="B54" s="84">
        <f>276114.8*1.4</f>
        <v>386560.72</v>
      </c>
      <c r="C54" s="73"/>
      <c r="D54" s="73"/>
      <c r="E54" s="73"/>
    </row>
    <row r="55" spans="1:5" x14ac:dyDescent="0.25">
      <c r="A55" s="83" t="s">
        <v>202</v>
      </c>
      <c r="B55" s="84">
        <f>1862.74*1.4</f>
        <v>2607.8359999999998</v>
      </c>
      <c r="C55" s="73"/>
      <c r="D55" s="73"/>
      <c r="E55" s="73"/>
    </row>
    <row r="56" spans="1:5" ht="24" x14ac:dyDescent="0.25">
      <c r="A56" s="85" t="s">
        <v>203</v>
      </c>
      <c r="B56" s="87">
        <f>3290.62*1.4</f>
        <v>4606.8679999999995</v>
      </c>
      <c r="C56" s="73"/>
      <c r="D56" s="73"/>
      <c r="E56" s="73"/>
    </row>
    <row r="57" spans="1:5" x14ac:dyDescent="0.25">
      <c r="A57" s="88" t="s">
        <v>204</v>
      </c>
      <c r="B57" s="90">
        <f>851.64*1.4</f>
        <v>1192.2959999999998</v>
      </c>
      <c r="C57" s="73"/>
      <c r="D57" s="73"/>
      <c r="E57" s="73"/>
    </row>
    <row r="58" spans="1:5" x14ac:dyDescent="0.25">
      <c r="A58" s="83" t="s">
        <v>205</v>
      </c>
      <c r="B58" s="84">
        <f>2401.54*1.4</f>
        <v>3362.1559999999999</v>
      </c>
      <c r="C58" s="73"/>
      <c r="D58" s="73"/>
      <c r="E58" s="73"/>
    </row>
    <row r="59" spans="1:5" ht="24" x14ac:dyDescent="0.25">
      <c r="A59" s="72" t="s">
        <v>206</v>
      </c>
      <c r="B59" s="74">
        <f>27334.66*1.4</f>
        <v>38268.523999999998</v>
      </c>
      <c r="C59" s="73"/>
      <c r="D59" s="73"/>
      <c r="E59" s="73"/>
    </row>
    <row r="60" spans="1:5" ht="24" x14ac:dyDescent="0.25">
      <c r="A60" s="72" t="s">
        <v>207</v>
      </c>
      <c r="B60" s="74">
        <f>51833.64*1.4</f>
        <v>72567.09599999999</v>
      </c>
      <c r="C60" s="73"/>
      <c r="D60" s="73"/>
      <c r="E60" s="73"/>
    </row>
    <row r="61" spans="1:5" x14ac:dyDescent="0.25">
      <c r="A61" s="88" t="s">
        <v>208</v>
      </c>
      <c r="B61" s="89">
        <f>29808.51*1.4</f>
        <v>41731.913999999997</v>
      </c>
      <c r="C61" s="73"/>
      <c r="D61" s="73"/>
      <c r="E61" s="73"/>
    </row>
    <row r="62" spans="1:5" x14ac:dyDescent="0.25">
      <c r="A62" s="85" t="s">
        <v>209</v>
      </c>
      <c r="B62" s="87">
        <f>6531.31*1.4</f>
        <v>9143.8340000000007</v>
      </c>
      <c r="C62" s="73"/>
      <c r="D62" s="73"/>
      <c r="E62" s="73"/>
    </row>
    <row r="63" spans="1:5" x14ac:dyDescent="0.25">
      <c r="A63" s="85" t="s">
        <v>210</v>
      </c>
      <c r="B63" s="87">
        <f>1394.7*1.4</f>
        <v>1952.58</v>
      </c>
      <c r="C63" s="73"/>
      <c r="D63" s="73"/>
      <c r="E63" s="73"/>
    </row>
    <row r="64" spans="1:5" ht="24" x14ac:dyDescent="0.25">
      <c r="A64" s="85" t="s">
        <v>267</v>
      </c>
      <c r="B64" s="86">
        <f>907.57*1.4</f>
        <v>1270.598</v>
      </c>
      <c r="C64" s="73"/>
      <c r="D64" s="73"/>
      <c r="E64" s="73"/>
    </row>
    <row r="65" spans="1:9" x14ac:dyDescent="0.25">
      <c r="A65" s="83" t="s">
        <v>211</v>
      </c>
      <c r="B65" s="84">
        <f>19232.49*1.4</f>
        <v>26925.486000000001</v>
      </c>
      <c r="C65" s="73"/>
      <c r="D65" s="73"/>
      <c r="E65" s="73"/>
    </row>
    <row r="66" spans="1:9" ht="24" x14ac:dyDescent="0.25">
      <c r="A66" s="69" t="s">
        <v>212</v>
      </c>
      <c r="B66" s="71">
        <f>176204.89+I72</f>
        <v>231604.89</v>
      </c>
      <c r="C66" s="71">
        <v>176204.89</v>
      </c>
      <c r="D66" s="70"/>
      <c r="E66" s="70"/>
    </row>
    <row r="67" spans="1:9" x14ac:dyDescent="0.25">
      <c r="A67" s="72" t="s">
        <v>180</v>
      </c>
      <c r="B67" s="73"/>
      <c r="C67" s="74">
        <v>176204.89</v>
      </c>
      <c r="D67" s="73"/>
      <c r="E67" s="73"/>
    </row>
    <row r="68" spans="1:9" x14ac:dyDescent="0.25">
      <c r="A68" s="72" t="s">
        <v>268</v>
      </c>
      <c r="B68" s="74">
        <v>13891.42</v>
      </c>
      <c r="C68" s="73"/>
      <c r="D68" s="73"/>
      <c r="E68" s="73"/>
    </row>
    <row r="69" spans="1:9" x14ac:dyDescent="0.25">
      <c r="A69" s="72" t="s">
        <v>269</v>
      </c>
      <c r="B69" s="74">
        <v>2972.19</v>
      </c>
      <c r="C69" s="73"/>
      <c r="D69" s="73"/>
      <c r="E69" s="73"/>
    </row>
    <row r="70" spans="1:9" x14ac:dyDescent="0.25">
      <c r="A70" s="72" t="s">
        <v>213</v>
      </c>
      <c r="B70" s="74">
        <v>51548.7</v>
      </c>
      <c r="C70" s="73"/>
      <c r="D70" s="73"/>
      <c r="E70" s="73"/>
    </row>
    <row r="71" spans="1:9" x14ac:dyDescent="0.25">
      <c r="A71" s="72" t="s">
        <v>270</v>
      </c>
      <c r="B71" s="75">
        <v>792.58</v>
      </c>
      <c r="C71" s="73"/>
      <c r="D71" s="73"/>
      <c r="E71" s="73"/>
    </row>
    <row r="72" spans="1:9" ht="26.25" customHeight="1" x14ac:dyDescent="0.25">
      <c r="A72" s="72" t="s">
        <v>271</v>
      </c>
      <c r="B72" s="74">
        <f>107000+I72</f>
        <v>162400</v>
      </c>
      <c r="C72" s="73"/>
      <c r="D72" s="73"/>
      <c r="E72" s="73"/>
      <c r="F72" s="72" t="s">
        <v>303</v>
      </c>
      <c r="G72" s="73"/>
      <c r="H72" s="73"/>
      <c r="I72" s="74">
        <v>55400</v>
      </c>
    </row>
    <row r="73" spans="1:9" x14ac:dyDescent="0.25">
      <c r="A73" s="69" t="s">
        <v>214</v>
      </c>
      <c r="B73" s="71">
        <v>767331.67</v>
      </c>
      <c r="C73" s="71">
        <v>767331.67</v>
      </c>
      <c r="D73" s="70"/>
      <c r="E73" s="70"/>
    </row>
    <row r="74" spans="1:9" x14ac:dyDescent="0.25">
      <c r="A74" s="72" t="s">
        <v>180</v>
      </c>
      <c r="B74" s="73"/>
      <c r="C74" s="74">
        <v>767331.67</v>
      </c>
      <c r="D74" s="73"/>
      <c r="E74" s="73"/>
    </row>
    <row r="75" spans="1:9" x14ac:dyDescent="0.25">
      <c r="A75" s="72" t="s">
        <v>272</v>
      </c>
      <c r="B75" s="74">
        <v>13003.2</v>
      </c>
      <c r="C75" s="73"/>
      <c r="D75" s="73"/>
      <c r="E75" s="73"/>
    </row>
    <row r="76" spans="1:9" x14ac:dyDescent="0.25">
      <c r="A76" s="72" t="s">
        <v>273</v>
      </c>
      <c r="B76" s="74">
        <v>318762.18</v>
      </c>
      <c r="C76" s="73"/>
      <c r="D76" s="73"/>
      <c r="E76" s="73"/>
    </row>
    <row r="77" spans="1:9" ht="24" x14ac:dyDescent="0.25">
      <c r="A77" s="72" t="s">
        <v>274</v>
      </c>
      <c r="B77" s="74">
        <v>9314.9</v>
      </c>
      <c r="C77" s="73"/>
      <c r="D77" s="73"/>
      <c r="E77" s="73"/>
    </row>
    <row r="78" spans="1:9" x14ac:dyDescent="0.25">
      <c r="A78" s="72" t="s">
        <v>234</v>
      </c>
      <c r="B78" s="74">
        <v>426251.39</v>
      </c>
      <c r="C78" s="73"/>
      <c r="D78" s="73"/>
      <c r="E78" s="73"/>
    </row>
    <row r="79" spans="1:9" x14ac:dyDescent="0.25">
      <c r="A79" s="76" t="s">
        <v>275</v>
      </c>
      <c r="B79" s="78">
        <v>2941825.2</v>
      </c>
      <c r="C79" s="78">
        <v>2941825.2</v>
      </c>
      <c r="D79" s="77"/>
      <c r="E79" s="77"/>
    </row>
    <row r="80" spans="1:9" x14ac:dyDescent="0.25">
      <c r="A80" s="59"/>
      <c r="B80" s="59"/>
      <c r="C80" s="59"/>
      <c r="D80" s="59"/>
      <c r="E80" s="59"/>
    </row>
    <row r="81" spans="1:5" x14ac:dyDescent="0.25">
      <c r="A81" s="79" t="s">
        <v>276</v>
      </c>
      <c r="B81" s="59">
        <v>4833.66</v>
      </c>
      <c r="C81" s="59"/>
      <c r="D81" s="59"/>
      <c r="E81" s="59"/>
    </row>
    <row r="82" spans="1:5" x14ac:dyDescent="0.25">
      <c r="A82" s="79" t="s">
        <v>277</v>
      </c>
      <c r="B82" s="59">
        <v>14913.3</v>
      </c>
      <c r="C82" s="59"/>
      <c r="D82" s="59"/>
      <c r="E82" s="59"/>
    </row>
    <row r="83" spans="1:5" x14ac:dyDescent="0.25">
      <c r="A83" s="79" t="s">
        <v>278</v>
      </c>
      <c r="B83" s="59">
        <f>123187-40000</f>
        <v>83187</v>
      </c>
      <c r="C83" s="59"/>
      <c r="D83" s="59"/>
      <c r="E83" s="59"/>
    </row>
    <row r="84" spans="1:5" x14ac:dyDescent="0.25">
      <c r="A84" s="59"/>
      <c r="B84" s="59"/>
      <c r="C84" s="59"/>
      <c r="D84" s="59"/>
      <c r="E84" s="59"/>
    </row>
    <row r="85" spans="1:5" x14ac:dyDescent="0.25">
      <c r="A85" s="59"/>
      <c r="B85" s="59"/>
      <c r="C85" s="59"/>
      <c r="D85" s="59"/>
      <c r="E85" s="59"/>
    </row>
    <row r="86" spans="1:5" x14ac:dyDescent="0.25">
      <c r="A86" s="59"/>
      <c r="B86" s="59"/>
      <c r="C86" s="59"/>
      <c r="D86" s="59"/>
      <c r="E86" s="59"/>
    </row>
    <row r="87" spans="1:5" x14ac:dyDescent="0.25">
      <c r="A87" s="59"/>
      <c r="B87" s="59"/>
      <c r="C87" s="59"/>
      <c r="D87" s="59"/>
      <c r="E87" s="59"/>
    </row>
    <row r="88" spans="1:5" x14ac:dyDescent="0.25">
      <c r="A88" s="59"/>
      <c r="B88" s="59"/>
      <c r="C88" s="59"/>
      <c r="D88" s="59"/>
      <c r="E88" s="59"/>
    </row>
    <row r="89" spans="1:5" x14ac:dyDescent="0.25">
      <c r="A89" s="59"/>
      <c r="B89" s="59"/>
      <c r="C89" s="59"/>
      <c r="D89" s="59"/>
      <c r="E89" s="59"/>
    </row>
  </sheetData>
  <mergeCells count="8">
    <mergeCell ref="E9:E11"/>
    <mergeCell ref="A4:E4"/>
    <mergeCell ref="A6:E6"/>
    <mergeCell ref="B8:C8"/>
    <mergeCell ref="D8:E8"/>
    <mergeCell ref="B9:B11"/>
    <mergeCell ref="C9:C11"/>
    <mergeCell ref="D9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</vt:lpstr>
      <vt:lpstr>расходы</vt:lpstr>
      <vt:lpstr>форма 2023</vt:lpstr>
      <vt:lpstr>Лист2</vt:lpstr>
      <vt:lpstr>форма!Область_печати</vt:lpstr>
      <vt:lpstr>'форма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USND-005</dc:creator>
  <cp:lastModifiedBy>USND000</cp:lastModifiedBy>
  <cp:lastPrinted>2023-03-27T12:13:05Z</cp:lastPrinted>
  <dcterms:created xsi:type="dcterms:W3CDTF">2023-03-13T05:40:58Z</dcterms:created>
  <dcterms:modified xsi:type="dcterms:W3CDTF">2024-03-27T10:47:06Z</dcterms:modified>
</cp:coreProperties>
</file>